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3 рік\сайт\"/>
    </mc:Choice>
  </mc:AlternateContent>
  <bookViews>
    <workbookView xWindow="0" yWindow="0" windowWidth="28800" windowHeight="12015"/>
  </bookViews>
  <sheets>
    <sheet name="2023" sheetId="22" r:id="rId1"/>
  </sheets>
  <definedNames>
    <definedName name="_xlnm.Print_Titles" localSheetId="0">'2023'!$3:$5</definedName>
    <definedName name="_xlnm.Print_Area" localSheetId="0">'2023'!$A$1:$T$108</definedName>
  </definedNames>
  <calcPr calcId="152511"/>
</workbook>
</file>

<file path=xl/calcChain.xml><?xml version="1.0" encoding="utf-8"?>
<calcChain xmlns="http://schemas.openxmlformats.org/spreadsheetml/2006/main">
  <c r="X15" i="22" l="1"/>
  <c r="W15" i="22"/>
  <c r="V15" i="22"/>
  <c r="U15" i="22"/>
  <c r="N85" i="22" l="1"/>
  <c r="N84" i="22"/>
  <c r="N83" i="22"/>
  <c r="N79" i="22"/>
  <c r="N78" i="22"/>
  <c r="N76" i="22"/>
  <c r="N73" i="22"/>
  <c r="N48" i="22"/>
  <c r="N47" i="22"/>
  <c r="N46" i="22"/>
  <c r="N45" i="22"/>
  <c r="N44" i="22"/>
  <c r="N43" i="22"/>
  <c r="N42" i="22"/>
  <c r="N41" i="22"/>
  <c r="N40" i="22"/>
  <c r="N39" i="22"/>
  <c r="N38" i="22"/>
  <c r="N37" i="22"/>
  <c r="N35" i="22"/>
  <c r="N34" i="22"/>
  <c r="N33" i="22"/>
  <c r="N32" i="22"/>
  <c r="N31" i="22"/>
  <c r="N30" i="22"/>
  <c r="N29" i="22"/>
  <c r="N28" i="22"/>
  <c r="N27" i="22"/>
  <c r="N26" i="22"/>
  <c r="N25" i="22"/>
  <c r="N24" i="22"/>
  <c r="N23" i="22"/>
  <c r="N22" i="22"/>
  <c r="N20" i="22"/>
  <c r="N19" i="22"/>
  <c r="N18" i="22"/>
  <c r="N16" i="22"/>
  <c r="N15" i="22"/>
  <c r="N13" i="22"/>
  <c r="N12" i="22"/>
  <c r="N11" i="22"/>
  <c r="N10" i="22"/>
  <c r="N8" i="22"/>
  <c r="N7" i="22"/>
  <c r="I91" i="22" l="1"/>
  <c r="I90" i="22" s="1"/>
  <c r="I80" i="22"/>
  <c r="I72" i="22"/>
  <c r="I86" i="22" s="1"/>
  <c r="I67" i="22"/>
  <c r="I65" i="22"/>
  <c r="I100" i="22" s="1"/>
  <c r="I64" i="22"/>
  <c r="I99" i="22" s="1"/>
  <c r="I56" i="22"/>
  <c r="I68" i="22" s="1"/>
  <c r="I103" i="22" s="1"/>
  <c r="I36" i="22"/>
  <c r="I21" i="22"/>
  <c r="I17" i="22"/>
  <c r="I14" i="22"/>
  <c r="I9" i="22"/>
  <c r="I102" i="22" l="1"/>
  <c r="I94" i="22"/>
  <c r="I101" i="22"/>
  <c r="I98" i="22" s="1"/>
  <c r="I49" i="22"/>
  <c r="I96" i="22" s="1"/>
  <c r="I66" i="22"/>
  <c r="I62" i="22" s="1"/>
  <c r="F7" i="22"/>
  <c r="O7" i="22" s="1"/>
  <c r="W7" i="22"/>
  <c r="X7" i="22"/>
  <c r="A8" i="22"/>
  <c r="F8" i="22"/>
  <c r="O8" i="22" s="1"/>
  <c r="W8" i="22"/>
  <c r="X8" i="22" s="1"/>
  <c r="D9" i="22"/>
  <c r="E9" i="22"/>
  <c r="N9" i="22" s="1"/>
  <c r="G9" i="22"/>
  <c r="H9" i="22"/>
  <c r="J9" i="22"/>
  <c r="K9" i="22"/>
  <c r="R9" i="22"/>
  <c r="F10" i="22"/>
  <c r="L10" i="22" s="1"/>
  <c r="F11" i="22"/>
  <c r="P11" i="22" s="1"/>
  <c r="F12" i="22"/>
  <c r="M12" i="22" s="1"/>
  <c r="F13" i="22"/>
  <c r="P13" i="22" s="1"/>
  <c r="R14" i="22"/>
  <c r="F15" i="22"/>
  <c r="O15" i="22" s="1"/>
  <c r="F16" i="22"/>
  <c r="P16" i="22" s="1"/>
  <c r="D17" i="22"/>
  <c r="D14" i="22" s="1"/>
  <c r="E17" i="22"/>
  <c r="N17" i="22" s="1"/>
  <c r="G17" i="22"/>
  <c r="H17" i="22"/>
  <c r="H14" i="22" s="1"/>
  <c r="J17" i="22"/>
  <c r="J14" i="22" s="1"/>
  <c r="K17" i="22"/>
  <c r="K14" i="22" s="1"/>
  <c r="F18" i="22"/>
  <c r="P18" i="22" s="1"/>
  <c r="F19" i="22"/>
  <c r="Q19" i="22" s="1"/>
  <c r="F20" i="22"/>
  <c r="L20" i="22" s="1"/>
  <c r="D21" i="22"/>
  <c r="E21" i="22"/>
  <c r="N21" i="22" s="1"/>
  <c r="G21" i="22"/>
  <c r="H21" i="22"/>
  <c r="J21" i="22"/>
  <c r="K21" i="22"/>
  <c r="R21" i="22"/>
  <c r="U21" i="22"/>
  <c r="F22" i="22"/>
  <c r="L22" i="22" s="1"/>
  <c r="F23" i="22"/>
  <c r="O23" i="22" s="1"/>
  <c r="F24" i="22"/>
  <c r="L24" i="22" s="1"/>
  <c r="F25" i="22"/>
  <c r="M25" i="22" s="1"/>
  <c r="F26" i="22"/>
  <c r="O26" i="22" s="1"/>
  <c r="F27" i="22"/>
  <c r="Q27" i="22" s="1"/>
  <c r="A28" i="22"/>
  <c r="A29" i="22" s="1"/>
  <c r="A30" i="22" s="1"/>
  <c r="A31" i="22" s="1"/>
  <c r="A32" i="22" s="1"/>
  <c r="A33" i="22" s="1"/>
  <c r="F28" i="22"/>
  <c r="M28" i="22" s="1"/>
  <c r="F29" i="22"/>
  <c r="O29" i="22" s="1"/>
  <c r="F30" i="22"/>
  <c r="L30" i="22" s="1"/>
  <c r="F31" i="22"/>
  <c r="O31" i="22" s="1"/>
  <c r="F32" i="22"/>
  <c r="P32" i="22" s="1"/>
  <c r="F33" i="22"/>
  <c r="L33" i="22" s="1"/>
  <c r="F35" i="22"/>
  <c r="Q35" i="22" s="1"/>
  <c r="L35" i="22"/>
  <c r="D36" i="22"/>
  <c r="E36" i="22"/>
  <c r="N36" i="22" s="1"/>
  <c r="G36" i="22"/>
  <c r="H36" i="22"/>
  <c r="J36" i="22"/>
  <c r="K36" i="22"/>
  <c r="R36" i="22"/>
  <c r="F37" i="22"/>
  <c r="L37" i="22" s="1"/>
  <c r="F38" i="22"/>
  <c r="T38" i="22" s="1"/>
  <c r="U38" i="22" s="1"/>
  <c r="F39" i="22"/>
  <c r="S39" i="22" s="1"/>
  <c r="F40" i="22"/>
  <c r="L40" i="22" s="1"/>
  <c r="F41" i="22"/>
  <c r="P41" i="22" s="1"/>
  <c r="A42" i="22"/>
  <c r="A43" i="22" s="1"/>
  <c r="A44" i="22" s="1"/>
  <c r="A45" i="22" s="1"/>
  <c r="A46" i="22" s="1"/>
  <c r="A47" i="22" s="1"/>
  <c r="A48" i="22" s="1"/>
  <c r="F42" i="22"/>
  <c r="T42" i="22" s="1"/>
  <c r="U42" i="22" s="1"/>
  <c r="F43" i="22"/>
  <c r="S43" i="22" s="1"/>
  <c r="F44" i="22"/>
  <c r="S44" i="22" s="1"/>
  <c r="F45" i="22"/>
  <c r="L45" i="22" s="1"/>
  <c r="F46" i="22"/>
  <c r="P46" i="22" s="1"/>
  <c r="F47" i="22"/>
  <c r="F48" i="22"/>
  <c r="Q48" i="22" s="1"/>
  <c r="Y49" i="22"/>
  <c r="F50" i="22"/>
  <c r="N50" i="22"/>
  <c r="N64" i="22" s="1"/>
  <c r="N99" i="22" s="1"/>
  <c r="A51" i="22"/>
  <c r="A52" i="22" s="1"/>
  <c r="A53" i="22" s="1"/>
  <c r="A54" i="22" s="1"/>
  <c r="A55" i="22" s="1"/>
  <c r="A56" i="22" s="1"/>
  <c r="F51" i="22"/>
  <c r="M51" i="22" s="1"/>
  <c r="N51" i="22"/>
  <c r="N67" i="22" s="1"/>
  <c r="F52" i="22"/>
  <c r="N52" i="22"/>
  <c r="N65" i="22" s="1"/>
  <c r="N100" i="22" s="1"/>
  <c r="F53" i="22"/>
  <c r="L53" i="22" s="1"/>
  <c r="N53" i="22"/>
  <c r="F54" i="22"/>
  <c r="N54" i="22"/>
  <c r="F55" i="22"/>
  <c r="Q55" i="22" s="1"/>
  <c r="N55" i="22"/>
  <c r="D56" i="22"/>
  <c r="D68" i="22" s="1"/>
  <c r="D103" i="22" s="1"/>
  <c r="E56" i="22"/>
  <c r="E68" i="22" s="1"/>
  <c r="E103" i="22" s="1"/>
  <c r="G56" i="22"/>
  <c r="H56" i="22"/>
  <c r="H68" i="22" s="1"/>
  <c r="H103" i="22" s="1"/>
  <c r="J56" i="22"/>
  <c r="J68" i="22" s="1"/>
  <c r="K56" i="22"/>
  <c r="K68" i="22" s="1"/>
  <c r="K103" i="22" s="1"/>
  <c r="R56" i="22"/>
  <c r="R68" i="22" s="1"/>
  <c r="R103" i="22" s="1"/>
  <c r="F57" i="22"/>
  <c r="N57" i="22"/>
  <c r="F58" i="22"/>
  <c r="S58" i="22" s="1"/>
  <c r="N58" i="22"/>
  <c r="F59" i="22"/>
  <c r="N59" i="22"/>
  <c r="F60" i="22"/>
  <c r="N60" i="22"/>
  <c r="D64" i="22"/>
  <c r="D99" i="22" s="1"/>
  <c r="E64" i="22"/>
  <c r="E99" i="22" s="1"/>
  <c r="G64" i="22"/>
  <c r="G99" i="22" s="1"/>
  <c r="H64" i="22"/>
  <c r="H99" i="22" s="1"/>
  <c r="J64" i="22"/>
  <c r="J99" i="22" s="1"/>
  <c r="K64" i="22"/>
  <c r="D65" i="22"/>
  <c r="D100" i="22" s="1"/>
  <c r="E65" i="22"/>
  <c r="G65" i="22"/>
  <c r="H65" i="22"/>
  <c r="H100" i="22" s="1"/>
  <c r="J65" i="22"/>
  <c r="J100" i="22" s="1"/>
  <c r="K65" i="22"/>
  <c r="K100" i="22" s="1"/>
  <c r="R65" i="22"/>
  <c r="R100" i="22" s="1"/>
  <c r="D67" i="22"/>
  <c r="E67" i="22"/>
  <c r="G67" i="22"/>
  <c r="H67" i="22"/>
  <c r="J67" i="22"/>
  <c r="K67" i="22"/>
  <c r="R67" i="22"/>
  <c r="D72" i="22"/>
  <c r="D86" i="22" s="1"/>
  <c r="G72" i="22"/>
  <c r="H72" i="22"/>
  <c r="H86" i="22" s="1"/>
  <c r="J72" i="22"/>
  <c r="J86" i="22" s="1"/>
  <c r="K72" i="22"/>
  <c r="K86" i="22" s="1"/>
  <c r="R72" i="22"/>
  <c r="R86" i="22" s="1"/>
  <c r="F73" i="22"/>
  <c r="L73" i="22" s="1"/>
  <c r="N72" i="22"/>
  <c r="F74" i="22"/>
  <c r="L74" i="22" s="1"/>
  <c r="F75" i="22"/>
  <c r="S75" i="22" s="1"/>
  <c r="F76" i="22"/>
  <c r="O76" i="22" s="1"/>
  <c r="F77" i="22"/>
  <c r="L77" i="22" s="1"/>
  <c r="F78" i="22"/>
  <c r="S78" i="22" s="1"/>
  <c r="A79" i="22"/>
  <c r="A80" i="22" s="1"/>
  <c r="F79" i="22"/>
  <c r="P79" i="22" s="1"/>
  <c r="D80" i="22"/>
  <c r="E80" i="22"/>
  <c r="G80" i="22"/>
  <c r="H80" i="22"/>
  <c r="J80" i="22"/>
  <c r="K80" i="22"/>
  <c r="R80" i="22"/>
  <c r="F81" i="22"/>
  <c r="N81" i="22"/>
  <c r="F82" i="22"/>
  <c r="L82" i="22"/>
  <c r="N82" i="22"/>
  <c r="F83" i="22"/>
  <c r="L83" i="22" s="1"/>
  <c r="F84" i="22"/>
  <c r="Q84" i="22" s="1"/>
  <c r="F85" i="22"/>
  <c r="L85" i="22" s="1"/>
  <c r="F87" i="22"/>
  <c r="F88" i="22"/>
  <c r="M88" i="22" s="1"/>
  <c r="N88" i="22"/>
  <c r="N91" i="22" s="1"/>
  <c r="N90" i="22" s="1"/>
  <c r="F89" i="22"/>
  <c r="D91" i="22"/>
  <c r="D90" i="22" s="1"/>
  <c r="E91" i="22"/>
  <c r="E90" i="22" s="1"/>
  <c r="G91" i="22"/>
  <c r="G90" i="22" s="1"/>
  <c r="H91" i="22"/>
  <c r="H90" i="22" s="1"/>
  <c r="J91" i="22"/>
  <c r="J90" i="22" s="1"/>
  <c r="K91" i="22"/>
  <c r="K90" i="22" s="1"/>
  <c r="R91" i="22"/>
  <c r="R90" i="22" s="1"/>
  <c r="F92" i="22"/>
  <c r="L92" i="22" s="1"/>
  <c r="K99" i="22"/>
  <c r="R99" i="22"/>
  <c r="F34" i="22"/>
  <c r="L43" i="22" l="1"/>
  <c r="L39" i="22"/>
  <c r="L32" i="22"/>
  <c r="L78" i="22"/>
  <c r="L84" i="22"/>
  <c r="G102" i="22"/>
  <c r="N56" i="22"/>
  <c r="M42" i="22"/>
  <c r="L28" i="22"/>
  <c r="O79" i="22"/>
  <c r="O50" i="22"/>
  <c r="L11" i="22"/>
  <c r="M29" i="22"/>
  <c r="T84" i="22"/>
  <c r="L48" i="22"/>
  <c r="L38" i="22"/>
  <c r="L29" i="22"/>
  <c r="W26" i="22"/>
  <c r="O11" i="22"/>
  <c r="J49" i="22"/>
  <c r="L8" i="22"/>
  <c r="I70" i="22"/>
  <c r="O81" i="22"/>
  <c r="O59" i="22"/>
  <c r="D102" i="22"/>
  <c r="D101" i="22" s="1"/>
  <c r="D98" i="22" s="1"/>
  <c r="M39" i="22"/>
  <c r="R49" i="22"/>
  <c r="V49" i="22" s="1"/>
  <c r="L13" i="22"/>
  <c r="I105" i="22"/>
  <c r="H49" i="22"/>
  <c r="O60" i="22"/>
  <c r="O54" i="22"/>
  <c r="P53" i="22"/>
  <c r="J102" i="22"/>
  <c r="L60" i="22"/>
  <c r="M55" i="22"/>
  <c r="Q33" i="22"/>
  <c r="S32" i="22"/>
  <c r="L31" i="22"/>
  <c r="S30" i="22"/>
  <c r="T26" i="22"/>
  <c r="S26" i="22"/>
  <c r="P26" i="22"/>
  <c r="M26" i="22"/>
  <c r="L26" i="22"/>
  <c r="L25" i="22"/>
  <c r="M23" i="22"/>
  <c r="L23" i="22"/>
  <c r="F17" i="22"/>
  <c r="P17" i="22" s="1"/>
  <c r="L18" i="22"/>
  <c r="F9" i="22"/>
  <c r="Q9" i="22" s="1"/>
  <c r="T11" i="22"/>
  <c r="M7" i="22"/>
  <c r="V56" i="22"/>
  <c r="R66" i="22"/>
  <c r="R62" i="22" s="1"/>
  <c r="O75" i="22"/>
  <c r="M60" i="22"/>
  <c r="L58" i="22"/>
  <c r="T53" i="22"/>
  <c r="L51" i="22"/>
  <c r="Q28" i="22"/>
  <c r="T32" i="22"/>
  <c r="M31" i="22"/>
  <c r="S29" i="22"/>
  <c r="F21" i="22"/>
  <c r="P21" i="22" s="1"/>
  <c r="T16" i="22"/>
  <c r="S16" i="22"/>
  <c r="S15" i="22"/>
  <c r="M16" i="22"/>
  <c r="M15" i="22"/>
  <c r="L16" i="22"/>
  <c r="L15" i="22"/>
  <c r="S12" i="22"/>
  <c r="T13" i="22"/>
  <c r="S13" i="22"/>
  <c r="L12" i="22"/>
  <c r="M8" i="22"/>
  <c r="L7" i="22"/>
  <c r="T8" i="22"/>
  <c r="Q8" i="22"/>
  <c r="L76" i="22"/>
  <c r="T19" i="22"/>
  <c r="S18" i="22"/>
  <c r="Q32" i="22"/>
  <c r="S19" i="22"/>
  <c r="Q18" i="22"/>
  <c r="Q13" i="22"/>
  <c r="T7" i="22"/>
  <c r="O32" i="22"/>
  <c r="T31" i="22"/>
  <c r="U31" i="22" s="1"/>
  <c r="S20" i="22"/>
  <c r="O18" i="22"/>
  <c r="O13" i="22"/>
  <c r="S7" i="22"/>
  <c r="S60" i="22"/>
  <c r="S31" i="22"/>
  <c r="Q26" i="22"/>
  <c r="S25" i="22"/>
  <c r="T23" i="22"/>
  <c r="O20" i="22"/>
  <c r="M19" i="22"/>
  <c r="Q16" i="22"/>
  <c r="Q7" i="22"/>
  <c r="Q60" i="22"/>
  <c r="M32" i="22"/>
  <c r="S28" i="22"/>
  <c r="S23" i="22"/>
  <c r="L19" i="22"/>
  <c r="M18" i="22"/>
  <c r="O16" i="22"/>
  <c r="T15" i="22"/>
  <c r="M13" i="22"/>
  <c r="S8" i="22"/>
  <c r="F65" i="22"/>
  <c r="S65" i="22" s="1"/>
  <c r="D49" i="22"/>
  <c r="D96" i="22" s="1"/>
  <c r="Q24" i="22"/>
  <c r="E14" i="22"/>
  <c r="N14" i="22" s="1"/>
  <c r="N49" i="22" s="1"/>
  <c r="Q10" i="22"/>
  <c r="K49" i="22"/>
  <c r="K96" i="22" s="1"/>
  <c r="Q30" i="22"/>
  <c r="P24" i="22"/>
  <c r="Q12" i="22"/>
  <c r="P10" i="22"/>
  <c r="P30" i="22"/>
  <c r="P28" i="22"/>
  <c r="P25" i="22"/>
  <c r="O24" i="22"/>
  <c r="O22" i="22"/>
  <c r="O10" i="22"/>
  <c r="O25" i="22"/>
  <c r="Q23" i="22"/>
  <c r="P19" i="22"/>
  <c r="T33" i="22"/>
  <c r="M33" i="22"/>
  <c r="P31" i="22"/>
  <c r="P29" i="22"/>
  <c r="T27" i="22"/>
  <c r="U27" i="22" s="1"/>
  <c r="M27" i="22"/>
  <c r="T24" i="22"/>
  <c r="U24" i="22" s="1"/>
  <c r="M24" i="22"/>
  <c r="P23" i="22"/>
  <c r="T22" i="22"/>
  <c r="M22" i="22"/>
  <c r="O19" i="22"/>
  <c r="P15" i="22"/>
  <c r="G14" i="22"/>
  <c r="F14" i="22" s="1"/>
  <c r="Q11" i="22"/>
  <c r="T10" i="22"/>
  <c r="M10" i="22"/>
  <c r="P8" i="22"/>
  <c r="P7" i="22"/>
  <c r="Q22" i="22"/>
  <c r="P33" i="22"/>
  <c r="P27" i="22"/>
  <c r="Q25" i="22"/>
  <c r="P22" i="22"/>
  <c r="V21" i="22"/>
  <c r="O33" i="22"/>
  <c r="O27" i="22"/>
  <c r="W24" i="22"/>
  <c r="P12" i="22"/>
  <c r="Q31" i="22"/>
  <c r="O30" i="22"/>
  <c r="Q29" i="22"/>
  <c r="O28" i="22"/>
  <c r="Q15" i="22"/>
  <c r="O12" i="22"/>
  <c r="S11" i="22"/>
  <c r="S33" i="22"/>
  <c r="T30" i="22"/>
  <c r="T28" i="22"/>
  <c r="S27" i="22"/>
  <c r="L27" i="22"/>
  <c r="T25" i="22"/>
  <c r="S24" i="22"/>
  <c r="S22" i="22"/>
  <c r="T12" i="22"/>
  <c r="S10" i="22"/>
  <c r="S84" i="22"/>
  <c r="F72" i="22"/>
  <c r="S72" i="22" s="1"/>
  <c r="S53" i="22"/>
  <c r="S37" i="22"/>
  <c r="O84" i="22"/>
  <c r="P59" i="22"/>
  <c r="O52" i="22"/>
  <c r="O48" i="22"/>
  <c r="P47" i="22"/>
  <c r="M46" i="22"/>
  <c r="S41" i="22"/>
  <c r="Q39" i="22"/>
  <c r="M37" i="22"/>
  <c r="M84" i="22"/>
  <c r="L81" i="22"/>
  <c r="F80" i="22"/>
  <c r="Q80" i="22" s="1"/>
  <c r="M76" i="22"/>
  <c r="M58" i="22"/>
  <c r="M53" i="22"/>
  <c r="L50" i="22"/>
  <c r="T46" i="22"/>
  <c r="L46" i="22"/>
  <c r="L44" i="22"/>
  <c r="O39" i="22"/>
  <c r="M38" i="22"/>
  <c r="M35" i="22"/>
  <c r="S46" i="22"/>
  <c r="Q46" i="22"/>
  <c r="S81" i="22"/>
  <c r="T58" i="22"/>
  <c r="S48" i="22"/>
  <c r="O46" i="22"/>
  <c r="T35" i="22"/>
  <c r="L75" i="22"/>
  <c r="P73" i="22"/>
  <c r="Q58" i="22"/>
  <c r="P57" i="22"/>
  <c r="L55" i="22"/>
  <c r="Q53" i="22"/>
  <c r="L52" i="22"/>
  <c r="P48" i="22"/>
  <c r="L47" i="22"/>
  <c r="T39" i="22"/>
  <c r="Q38" i="22"/>
  <c r="D94" i="22"/>
  <c r="E66" i="22"/>
  <c r="E62" i="22" s="1"/>
  <c r="G86" i="22"/>
  <c r="S73" i="22"/>
  <c r="P54" i="22"/>
  <c r="S50" i="22"/>
  <c r="T76" i="22"/>
  <c r="O88" i="22"/>
  <c r="Q44" i="22"/>
  <c r="Q43" i="22"/>
  <c r="P42" i="22"/>
  <c r="O53" i="22"/>
  <c r="S52" i="22"/>
  <c r="O44" i="22"/>
  <c r="P43" i="22"/>
  <c r="S42" i="22"/>
  <c r="M41" i="22"/>
  <c r="O37" i="22"/>
  <c r="G100" i="22"/>
  <c r="F100" i="22" s="1"/>
  <c r="O82" i="22"/>
  <c r="M73" i="22"/>
  <c r="O57" i="22"/>
  <c r="J66" i="22"/>
  <c r="J62" i="22" s="1"/>
  <c r="M50" i="22"/>
  <c r="P45" i="22"/>
  <c r="M44" i="22"/>
  <c r="Q42" i="22"/>
  <c r="T41" i="22"/>
  <c r="L41" i="22"/>
  <c r="T37" i="22"/>
  <c r="U37" i="22" s="1"/>
  <c r="Q41" i="22"/>
  <c r="O34" i="22"/>
  <c r="L88" i="22"/>
  <c r="O83" i="22"/>
  <c r="T73" i="22"/>
  <c r="K66" i="22"/>
  <c r="K62" i="22" s="1"/>
  <c r="F64" i="22"/>
  <c r="M64" i="22" s="1"/>
  <c r="L42" i="22"/>
  <c r="O41" i="22"/>
  <c r="E49" i="22"/>
  <c r="N115" i="22" s="1"/>
  <c r="F90" i="22"/>
  <c r="L90" i="22" s="1"/>
  <c r="S47" i="22"/>
  <c r="Q37" i="22"/>
  <c r="R102" i="22"/>
  <c r="R101" i="22" s="1"/>
  <c r="R98" i="22" s="1"/>
  <c r="P40" i="22"/>
  <c r="P85" i="22"/>
  <c r="O73" i="22"/>
  <c r="O47" i="22"/>
  <c r="O42" i="22"/>
  <c r="J94" i="22"/>
  <c r="T82" i="22"/>
  <c r="S83" i="22"/>
  <c r="Q83" i="22"/>
  <c r="S76" i="22"/>
  <c r="Q50" i="22"/>
  <c r="F91" i="22"/>
  <c r="S91" i="22" s="1"/>
  <c r="P83" i="22"/>
  <c r="S82" i="22"/>
  <c r="Q76" i="22"/>
  <c r="P50" i="22"/>
  <c r="Q47" i="22"/>
  <c r="P37" i="22"/>
  <c r="L34" i="22"/>
  <c r="K102" i="22"/>
  <c r="K101" i="22" s="1"/>
  <c r="K98" i="22" s="1"/>
  <c r="N86" i="22"/>
  <c r="Q73" i="22"/>
  <c r="O64" i="22"/>
  <c r="F86" i="22"/>
  <c r="O58" i="22"/>
  <c r="P58" i="22"/>
  <c r="F56" i="22"/>
  <c r="G68" i="22"/>
  <c r="G66" i="22" s="1"/>
  <c r="F36" i="22"/>
  <c r="N102" i="22"/>
  <c r="O92" i="22"/>
  <c r="S92" i="22"/>
  <c r="P51" i="22"/>
  <c r="O51" i="22"/>
  <c r="E102" i="22"/>
  <c r="E101" i="22" s="1"/>
  <c r="R94" i="22"/>
  <c r="H102" i="22"/>
  <c r="H101" i="22" s="1"/>
  <c r="H98" i="22" s="1"/>
  <c r="H66" i="22"/>
  <c r="H62" i="22" s="1"/>
  <c r="L59" i="22"/>
  <c r="S59" i="22"/>
  <c r="M59" i="22"/>
  <c r="L57" i="22"/>
  <c r="S57" i="22"/>
  <c r="M57" i="22"/>
  <c r="T57" i="22"/>
  <c r="L54" i="22"/>
  <c r="S54" i="22"/>
  <c r="M54" i="22"/>
  <c r="T54" i="22"/>
  <c r="N68" i="22"/>
  <c r="N103" i="22" s="1"/>
  <c r="S51" i="22"/>
  <c r="O45" i="22"/>
  <c r="M45" i="22"/>
  <c r="T45" i="22"/>
  <c r="Q40" i="22"/>
  <c r="P39" i="22"/>
  <c r="E100" i="22"/>
  <c r="F99" i="22"/>
  <c r="Q88" i="22"/>
  <c r="Q79" i="22"/>
  <c r="O74" i="22"/>
  <c r="S74" i="22"/>
  <c r="T74" i="22"/>
  <c r="D66" i="22"/>
  <c r="D62" i="22" s="1"/>
  <c r="P60" i="22"/>
  <c r="P55" i="22"/>
  <c r="O55" i="22"/>
  <c r="Q51" i="22"/>
  <c r="S45" i="22"/>
  <c r="P38" i="22"/>
  <c r="O38" i="22"/>
  <c r="P35" i="22"/>
  <c r="O35" i="22"/>
  <c r="J103" i="22"/>
  <c r="J101" i="22" s="1"/>
  <c r="J98" i="22" s="1"/>
  <c r="P88" i="22"/>
  <c r="H94" i="22"/>
  <c r="P76" i="22"/>
  <c r="E72" i="22"/>
  <c r="F67" i="22"/>
  <c r="Q59" i="22"/>
  <c r="Q57" i="22"/>
  <c r="S55" i="22"/>
  <c r="Q54" i="22"/>
  <c r="Q45" i="22"/>
  <c r="P44" i="22"/>
  <c r="O43" i="22"/>
  <c r="M43" i="22"/>
  <c r="S38" i="22"/>
  <c r="S35" i="22"/>
  <c r="N80" i="22"/>
  <c r="O85" i="22"/>
  <c r="M85" i="22"/>
  <c r="T85" i="22"/>
  <c r="O78" i="22"/>
  <c r="Q78" i="22"/>
  <c r="P78" i="22"/>
  <c r="O40" i="22"/>
  <c r="M40" i="22"/>
  <c r="T40" i="22"/>
  <c r="K94" i="22"/>
  <c r="S85" i="22"/>
  <c r="L79" i="22"/>
  <c r="S79" i="22"/>
  <c r="M79" i="22"/>
  <c r="T79" i="22"/>
  <c r="T51" i="22"/>
  <c r="S40" i="22"/>
  <c r="S88" i="22"/>
  <c r="Q85" i="22"/>
  <c r="P84" i="22"/>
  <c r="O77" i="22"/>
  <c r="T77" i="22"/>
  <c r="S77" i="22"/>
  <c r="S34" i="22"/>
  <c r="A34" i="22"/>
  <c r="A35" i="22" s="1"/>
  <c r="A36" i="22" s="1"/>
  <c r="C5" i="22"/>
  <c r="D5" i="22" s="1"/>
  <c r="E5" i="22" s="1"/>
  <c r="F5" i="22" s="1"/>
  <c r="G5" i="22" s="1"/>
  <c r="S9" i="22" l="1"/>
  <c r="P90" i="22"/>
  <c r="Q90" i="22"/>
  <c r="T9" i="22"/>
  <c r="O91" i="22"/>
  <c r="M91" i="22"/>
  <c r="O90" i="22"/>
  <c r="M90" i="22"/>
  <c r="G94" i="22"/>
  <c r="W47" i="22"/>
  <c r="G49" i="22"/>
  <c r="F49" i="22" s="1"/>
  <c r="L49" i="22" s="1"/>
  <c r="R96" i="22"/>
  <c r="R105" i="22" s="1"/>
  <c r="V105" i="22" s="1"/>
  <c r="D105" i="22"/>
  <c r="D115" i="22" s="1"/>
  <c r="L91" i="22"/>
  <c r="S90" i="22"/>
  <c r="P9" i="22"/>
  <c r="R70" i="22"/>
  <c r="V70" i="22" s="1"/>
  <c r="L17" i="22"/>
  <c r="S17" i="22"/>
  <c r="T17" i="22"/>
  <c r="K70" i="22"/>
  <c r="Y70" i="22" s="1"/>
  <c r="S80" i="22"/>
  <c r="O21" i="22"/>
  <c r="T21" i="22"/>
  <c r="S21" i="22"/>
  <c r="L21" i="22"/>
  <c r="M21" i="22"/>
  <c r="Q21" i="22"/>
  <c r="M17" i="22"/>
  <c r="Q17" i="22"/>
  <c r="O17" i="22"/>
  <c r="O9" i="22"/>
  <c r="M9" i="22"/>
  <c r="L9" i="22"/>
  <c r="N94" i="22"/>
  <c r="M72" i="22"/>
  <c r="Q64" i="22"/>
  <c r="P64" i="22"/>
  <c r="O65" i="22"/>
  <c r="S64" i="22"/>
  <c r="L65" i="22"/>
  <c r="T72" i="22"/>
  <c r="L64" i="22"/>
  <c r="H96" i="22"/>
  <c r="H105" i="22" s="1"/>
  <c r="K105" i="22"/>
  <c r="K115" i="22" s="1"/>
  <c r="D70" i="22"/>
  <c r="H70" i="22"/>
  <c r="M14" i="22"/>
  <c r="S14" i="22"/>
  <c r="O14" i="22"/>
  <c r="L14" i="22"/>
  <c r="T14" i="22"/>
  <c r="P14" i="22"/>
  <c r="Q14" i="22"/>
  <c r="L80" i="22"/>
  <c r="Q91" i="22"/>
  <c r="L72" i="22"/>
  <c r="P91" i="22"/>
  <c r="P72" i="22"/>
  <c r="O80" i="22"/>
  <c r="O72" i="22"/>
  <c r="T80" i="22"/>
  <c r="M80" i="22"/>
  <c r="N66" i="22"/>
  <c r="N62" i="22" s="1"/>
  <c r="N70" i="22" s="1"/>
  <c r="N101" i="22"/>
  <c r="N98" i="22" s="1"/>
  <c r="N116" i="22"/>
  <c r="E98" i="22"/>
  <c r="J70" i="22"/>
  <c r="J96" i="22"/>
  <c r="J105" i="22" s="1"/>
  <c r="E70" i="22"/>
  <c r="N96" i="22"/>
  <c r="F94" i="22"/>
  <c r="P99" i="22"/>
  <c r="Q99" i="22"/>
  <c r="O99" i="22"/>
  <c r="S99" i="22"/>
  <c r="L99" i="22"/>
  <c r="M99" i="22"/>
  <c r="L36" i="22"/>
  <c r="P36" i="22"/>
  <c r="Q36" i="22"/>
  <c r="O36" i="22"/>
  <c r="S36" i="22"/>
  <c r="T36" i="22"/>
  <c r="M36" i="22"/>
  <c r="P80" i="22"/>
  <c r="F68" i="22"/>
  <c r="G103" i="22"/>
  <c r="F102" i="22"/>
  <c r="E86" i="22"/>
  <c r="N117" i="22" s="1"/>
  <c r="Q72" i="22"/>
  <c r="M56" i="22"/>
  <c r="S56" i="22"/>
  <c r="Q56" i="22"/>
  <c r="L56" i="22"/>
  <c r="O56" i="22"/>
  <c r="P56" i="22"/>
  <c r="T56" i="22"/>
  <c r="P86" i="22"/>
  <c r="L86" i="22"/>
  <c r="M86" i="22"/>
  <c r="O86" i="22"/>
  <c r="S86" i="22"/>
  <c r="T86" i="22"/>
  <c r="O100" i="22"/>
  <c r="L100" i="22"/>
  <c r="S100" i="22"/>
  <c r="G62" i="22"/>
  <c r="F66" i="22"/>
  <c r="V94" i="22"/>
  <c r="L67" i="22"/>
  <c r="P67" i="22"/>
  <c r="Q67" i="22"/>
  <c r="S67" i="22"/>
  <c r="T67" i="22"/>
  <c r="M67" i="22"/>
  <c r="O67" i="22"/>
  <c r="H5" i="22"/>
  <c r="I5" i="22" l="1"/>
  <c r="J5" i="22" s="1"/>
  <c r="L5" i="22" s="1"/>
  <c r="M5" i="22" s="1"/>
  <c r="N5" i="22" s="1"/>
  <c r="O5" i="22" s="1"/>
  <c r="P5" i="22" s="1"/>
  <c r="R5" i="22" s="1"/>
  <c r="S5" i="22" s="1"/>
  <c r="T5" i="22" s="1"/>
  <c r="Q49" i="22"/>
  <c r="V47" i="22"/>
  <c r="X47" i="22" s="1"/>
  <c r="G96" i="22"/>
  <c r="F96" i="22" s="1"/>
  <c r="S96" i="22" s="1"/>
  <c r="T49" i="22"/>
  <c r="S49" i="22"/>
  <c r="P49" i="22"/>
  <c r="M49" i="22"/>
  <c r="O49" i="22"/>
  <c r="N105" i="22"/>
  <c r="L68" i="22"/>
  <c r="T68" i="22"/>
  <c r="M68" i="22"/>
  <c r="S68" i="22"/>
  <c r="P68" i="22"/>
  <c r="Q68" i="22"/>
  <c r="O68" i="22"/>
  <c r="P66" i="22"/>
  <c r="T66" i="22"/>
  <c r="O66" i="22"/>
  <c r="L66" i="22"/>
  <c r="M66" i="22"/>
  <c r="Q66" i="22"/>
  <c r="S66" i="22"/>
  <c r="E96" i="22"/>
  <c r="E105" i="22" s="1"/>
  <c r="E115" i="22" s="1"/>
  <c r="E94" i="22"/>
  <c r="G70" i="22"/>
  <c r="F62" i="22"/>
  <c r="Q86" i="22"/>
  <c r="O102" i="22"/>
  <c r="P102" i="22"/>
  <c r="M102" i="22"/>
  <c r="Q102" i="22"/>
  <c r="S102" i="22"/>
  <c r="L102" i="22"/>
  <c r="T102" i="22"/>
  <c r="O94" i="22"/>
  <c r="P94" i="22"/>
  <c r="S94" i="22"/>
  <c r="L94" i="22"/>
  <c r="T94" i="22"/>
  <c r="M94" i="22"/>
  <c r="F103" i="22"/>
  <c r="G101" i="22"/>
  <c r="P96" i="22" l="1"/>
  <c r="O96" i="22"/>
  <c r="M96" i="22"/>
  <c r="L96" i="22"/>
  <c r="T96" i="22"/>
  <c r="Q96" i="22"/>
  <c r="N119" i="22"/>
  <c r="N120" i="22" s="1"/>
  <c r="N118" i="22"/>
  <c r="F101" i="22"/>
  <c r="G98" i="22"/>
  <c r="Q103" i="22"/>
  <c r="L103" i="22"/>
  <c r="P103" i="22"/>
  <c r="S103" i="22"/>
  <c r="M103" i="22"/>
  <c r="T103" i="22"/>
  <c r="O103" i="22"/>
  <c r="T62" i="22"/>
  <c r="O62" i="22"/>
  <c r="P62" i="22"/>
  <c r="Q62" i="22"/>
  <c r="L62" i="22"/>
  <c r="M62" i="22"/>
  <c r="S62" i="22"/>
  <c r="F70" i="22"/>
  <c r="Q94" i="22"/>
  <c r="F98" i="22" l="1"/>
  <c r="G105" i="22"/>
  <c r="F105" i="22" s="1"/>
  <c r="M101" i="22"/>
  <c r="S101" i="22"/>
  <c r="T101" i="22"/>
  <c r="O101" i="22"/>
  <c r="Q101" i="22"/>
  <c r="L101" i="22"/>
  <c r="P101" i="22"/>
  <c r="P70" i="22"/>
  <c r="T70" i="22"/>
  <c r="O70" i="22"/>
  <c r="Q70" i="22"/>
  <c r="S70" i="22"/>
  <c r="L70" i="22"/>
  <c r="M70" i="22"/>
  <c r="M105" i="22" l="1"/>
  <c r="S105" i="22"/>
  <c r="T105" i="22"/>
  <c r="Q105" i="22"/>
  <c r="L105" i="22"/>
  <c r="F115" i="22"/>
  <c r="O105" i="22"/>
  <c r="P105" i="22"/>
  <c r="T98" i="22"/>
  <c r="O98" i="22"/>
  <c r="L98" i="22"/>
  <c r="M98" i="22"/>
  <c r="P98" i="22"/>
  <c r="Q98" i="22"/>
  <c r="S98" i="22"/>
</calcChain>
</file>

<file path=xl/sharedStrings.xml><?xml version="1.0" encoding="utf-8"?>
<sst xmlns="http://schemas.openxmlformats.org/spreadsheetml/2006/main" count="208" uniqueCount="192">
  <si>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</si>
  <si>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</si>
  <si>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</si>
  <si>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</si>
  <si>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</si>
  <si>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</si>
  <si>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</si>
  <si>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</si>
  <si>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</si>
  <si>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Всього власних та закріплених доходів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</si>
  <si>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</si>
  <si>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</si>
  <si>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</si>
  <si>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</si>
  <si>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</si>
  <si>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</si>
  <si>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</si>
  <si>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</si>
  <si>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</si>
  <si>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</si>
  <si>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</si>
  <si>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</si>
  <si>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</si>
  <si>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</si>
  <si>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</si>
  <si>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</si>
  <si>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</si>
  <si>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</si>
  <si>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і закріплені доходи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</si>
  <si>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</si>
  <si>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</si>
  <si>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</si>
  <si>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</si>
  <si>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</si>
  <si>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</si>
  <si>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</si>
  <si>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</si>
  <si>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</si>
  <si>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</si>
  <si>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</si>
  <si>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</si>
  <si>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</si>
  <si>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</si>
  <si>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</si>
  <si>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</si>
  <si>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</si>
  <si>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</si>
  <si>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</si>
  <si>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</si>
  <si>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</si>
  <si>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</si>
  <si>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</si>
  <si>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</si>
  <si>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</si>
  <si>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</si>
  <si>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</si>
  <si>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</si>
  <si>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</si>
  <si>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</si>
  <si>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</si>
  <si>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</si>
  <si>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</si>
  <si>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</si>
  <si>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</si>
  <si>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</si>
  <si>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</si>
  <si>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</si>
  <si>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Податок та збір на доходи фізичних осіб</t>
  </si>
  <si>
    <t>Кошти від продажу землі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</si>
  <si>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</si>
  <si>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</si>
  <si>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</si>
  <si>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</si>
  <si>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</si>
  <si>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</si>
  <si>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</si>
  <si>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</si>
  <si>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</si>
  <si>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</si>
  <si>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</si>
  <si>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</si>
  <si>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</si>
  <si>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</si>
  <si>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</si>
  <si>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</si>
  <si>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</si>
  <si>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14021900</t>
  </si>
  <si>
    <t>14031900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</si>
  <si>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</si>
  <si>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</si>
  <si>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</si>
  <si>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</si>
  <si>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</si>
  <si>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</si>
  <si>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</si>
  <si>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</si>
  <si>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</si>
  <si>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</si>
  <si>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</si>
  <si>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</si>
  <si>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</si>
  <si>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</si>
  <si>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</si>
  <si>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</si>
  <si>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</si>
  <si>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</si>
  <si>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</si>
  <si>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</si>
  <si>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</si>
  <si>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</si>
  <si>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</si>
  <si>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</si>
  <si>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</si>
  <si>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</si>
  <si>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</si>
  <si>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</si>
  <si>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</si>
  <si>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</si>
  <si>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</si>
  <si>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</si>
  <si>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</si>
  <si>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</si>
  <si>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4.3.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</si>
  <si>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</si>
  <si>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</si>
  <si>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</si>
  <si>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</si>
  <si>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</si>
  <si>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Плата за гарантії, надані Верховною Радою Автономної Республіки Крим, міськими та обласними радами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</si>
  <si>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</si>
  <si>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</si>
  <si>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</si>
  <si>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</si>
  <si>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</si>
  <si>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</si>
  <si>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</si>
  <si>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</si>
  <si>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Бюджет 
на 2023 рік</t>
  </si>
  <si>
    <t>Уточнений бюджет на 2023 рік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</si>
  <si>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</si>
  <si>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</si>
  <si>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лютий</t>
  </si>
  <si>
    <t xml:space="preserve">Місцеві податки, нараховані до 1 січня 2011 року   </t>
  </si>
  <si>
    <t>16012200</t>
  </si>
  <si>
    <t>4.3.1.</t>
  </si>
  <si>
    <t>4.3.2.</t>
  </si>
  <si>
    <t>6.1.</t>
  </si>
  <si>
    <t>6.2.</t>
  </si>
  <si>
    <t>6.3.</t>
  </si>
  <si>
    <t>6.4.</t>
  </si>
  <si>
    <t>6.5.</t>
  </si>
  <si>
    <t xml:space="preserve">Податок з власників наземних, водних транспортних засобів та інших самохідних машин і механізмів   </t>
  </si>
  <si>
    <t>12020900</t>
  </si>
  <si>
    <t xml:space="preserve">Інші збори за забруднення навколишнього природного середовища до Фонду охорони навколишнього природного середовища   </t>
  </si>
  <si>
    <t>19050200</t>
  </si>
  <si>
    <t>7.1.</t>
  </si>
  <si>
    <t>7.2.</t>
  </si>
  <si>
    <t>7.3.</t>
  </si>
  <si>
    <t>7.4.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</si>
  <si>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</si>
  <si>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</si>
  <si>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>16.1.</t>
  </si>
  <si>
    <t>16.2.</t>
  </si>
  <si>
    <t>16.3.</t>
  </si>
  <si>
    <t>16.4.</t>
  </si>
  <si>
    <t>березень</t>
  </si>
  <si>
    <t>41021400</t>
  </si>
  <si>
    <t>41051700</t>
  </si>
  <si>
    <t xml:space="preserve">Дотації з державного бюджету місцевим бюджетам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</si>
  <si>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</si>
  <si>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</si>
  <si>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Освітня субвенція з державного бюджету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</si>
  <si>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</si>
  <si>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</si>
  <si>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</si>
  <si>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</si>
  <si>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</si>
  <si>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</si>
  <si>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</si>
  <si>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* для забезпечення витратними матеріалами (кардіовиробами) хворих області в КНП "Вінницький регіональний клінічний лікувально-діагностичний центр серцево-судинної патології"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</si>
  <si>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</si>
  <si>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квітень</t>
  </si>
  <si>
    <t>Надійшло за січень - квітень 2023р.</t>
  </si>
  <si>
    <t>Відхилення надходжень до бюджету на січень - квітень 2023 року</t>
  </si>
  <si>
    <t>План на січень - квітень 2023р. (розрахунковий)</t>
  </si>
  <si>
    <t xml:space="preserve">Відхилення надходжень до бюджету на січень - квітень 2023 року (розрахунковий) </t>
  </si>
  <si>
    <t>% виконання до плану на 2023р. (норма 33,3%)</t>
  </si>
  <si>
    <t>Надійшло за січень - квітень 2022р.</t>
  </si>
  <si>
    <t>Відхилення факту січня - квітень 2023р. від факту січня - квітень 2022р.</t>
  </si>
  <si>
    <t>План на січень - квітень 2023 року</t>
  </si>
  <si>
    <t>Аналіз виконання бюджету Вінницької міської територіальної громади за січень - квітень 2023 року</t>
  </si>
  <si>
    <t>Директор департаменту фінансів                                                                                                                    Наталія ЛУЦЕНКО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</si>
</sst>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47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i/>
      <sz val="14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i/>
      <sz val="14"/>
      <name val="Times New Roman Cyr"/>
      <family val="1"/>
      <charset val="204"/>
    </font>
    <font>
      <b/>
      <sz val="2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5" fillId="0" borderId="0"/>
  </cellStyleXfs>
  <cellXfs count="190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49" fontId="14" fillId="0" borderId="1" xfId="1" applyNumberFormat="1" applyFont="1" applyFill="1" applyBorder="1" applyAlignment="1">
      <alignment horizontal="center" vertical="center"/>
    </xf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0" fontId="2" fillId="2" borderId="0" xfId="2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27" fillId="0" borderId="0" xfId="1" applyFont="1" applyFill="1" applyBorder="1"/>
    <xf numFmtId="0" fontId="12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 wrapText="1"/>
    </xf>
    <xf numFmtId="49" fontId="20" fillId="0" borderId="0" xfId="1" applyNumberFormat="1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left" vertical="center" wrapText="1"/>
    </xf>
    <xf numFmtId="0" fontId="28" fillId="0" borderId="1" xfId="1" applyFont="1" applyFill="1" applyBorder="1" applyAlignment="1">
      <alignment horizontal="center" vertical="center"/>
    </xf>
    <xf numFmtId="0" fontId="29" fillId="0" borderId="0" xfId="1" applyFont="1" applyFill="1" applyBorder="1"/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0" fontId="32" fillId="2" borderId="1" xfId="1" applyFont="1" applyFill="1" applyBorder="1" applyAlignment="1">
      <alignment horizontal="center" vertical="center"/>
    </xf>
    <xf numFmtId="2" fontId="33" fillId="2" borderId="1" xfId="1" applyNumberFormat="1" applyFont="1" applyFill="1" applyBorder="1" applyAlignment="1">
      <alignment horizontal="center" vertical="center" wrapText="1"/>
    </xf>
    <xf numFmtId="166" fontId="33" fillId="2" borderId="1" xfId="1" applyNumberFormat="1" applyFont="1" applyFill="1" applyBorder="1" applyAlignment="1">
      <alignment horizontal="center" vertical="center" wrapText="1"/>
    </xf>
    <xf numFmtId="0" fontId="32" fillId="2" borderId="0" xfId="1" applyFont="1" applyFill="1" applyBorder="1"/>
    <xf numFmtId="0" fontId="33" fillId="2" borderId="1" xfId="1" applyFont="1" applyFill="1" applyBorder="1" applyAlignment="1">
      <alignment horizontal="center" vertical="center" wrapText="1"/>
    </xf>
    <xf numFmtId="0" fontId="34" fillId="2" borderId="1" xfId="1" applyFont="1" applyFill="1" applyBorder="1" applyAlignment="1">
      <alignment horizontal="center" vertical="center"/>
    </xf>
    <xf numFmtId="49" fontId="33" fillId="2" borderId="1" xfId="1" applyNumberFormat="1" applyFont="1" applyFill="1" applyBorder="1" applyAlignment="1">
      <alignment horizontal="center" vertical="center" wrapText="1"/>
    </xf>
    <xf numFmtId="0" fontId="34" fillId="2" borderId="0" xfId="1" applyFont="1" applyFill="1" applyBorder="1"/>
    <xf numFmtId="49" fontId="33" fillId="0" borderId="1" xfId="1" applyNumberFormat="1" applyFont="1" applyFill="1" applyBorder="1" applyAlignment="1">
      <alignment horizontal="center" vertical="center" wrapText="1"/>
    </xf>
    <xf numFmtId="166" fontId="33" fillId="0" borderId="1" xfId="1" applyNumberFormat="1" applyFont="1" applyFill="1" applyBorder="1" applyAlignment="1">
      <alignment horizontal="center" vertical="center" wrapText="1"/>
    </xf>
    <xf numFmtId="0" fontId="32" fillId="0" borderId="0" xfId="1" applyFont="1" applyFill="1" applyBorder="1"/>
    <xf numFmtId="0" fontId="33" fillId="0" borderId="1" xfId="1" applyFont="1" applyFill="1" applyBorder="1" applyAlignment="1">
      <alignment horizontal="center" vertical="center" wrapText="1"/>
    </xf>
    <xf numFmtId="0" fontId="18" fillId="2" borderId="0" xfId="2" applyFont="1" applyFill="1" applyBorder="1"/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8" fillId="0" borderId="0" xfId="1" applyFont="1" applyFill="1" applyBorder="1"/>
    <xf numFmtId="166" fontId="31" fillId="2" borderId="1" xfId="1" applyNumberFormat="1" applyFont="1" applyFill="1" applyBorder="1" applyAlignment="1">
      <alignment horizontal="center" vertical="center" wrapText="1"/>
    </xf>
    <xf numFmtId="0" fontId="34" fillId="0" borderId="1" xfId="1" applyFont="1" applyFill="1" applyBorder="1" applyAlignment="1">
      <alignment horizontal="center" vertical="center"/>
    </xf>
    <xf numFmtId="0" fontId="34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8" fillId="0" borderId="1" xfId="3" applyFont="1" applyFill="1" applyBorder="1" applyAlignment="1">
      <alignment horizontal="center" vertical="center"/>
    </xf>
    <xf numFmtId="166" fontId="29" fillId="0" borderId="0" xfId="3" applyNumberFormat="1" applyFont="1" applyFill="1" applyBorder="1"/>
    <xf numFmtId="164" fontId="29" fillId="0" borderId="0" xfId="3" applyNumberFormat="1" applyFont="1" applyFill="1" applyBorder="1"/>
    <xf numFmtId="0" fontId="29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0" fontId="32" fillId="2" borderId="1" xfId="3" applyFont="1" applyFill="1" applyBorder="1" applyAlignment="1">
      <alignment horizontal="center" vertical="center"/>
    </xf>
    <xf numFmtId="0" fontId="33" fillId="2" borderId="1" xfId="3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/>
    </xf>
    <xf numFmtId="164" fontId="33" fillId="2" borderId="1" xfId="3" applyNumberFormat="1" applyFont="1" applyFill="1" applyBorder="1" applyAlignment="1">
      <alignment horizontal="center" vertical="center"/>
    </xf>
    <xf numFmtId="0" fontId="32" fillId="2" borderId="0" xfId="3" applyFont="1" applyFill="1" applyBorder="1"/>
    <xf numFmtId="166" fontId="32" fillId="2" borderId="0" xfId="3" applyNumberFormat="1" applyFont="1" applyFill="1" applyBorder="1"/>
    <xf numFmtId="166" fontId="33" fillId="0" borderId="1" xfId="3" applyNumberFormat="1" applyFont="1" applyFill="1" applyBorder="1" applyAlignment="1">
      <alignment horizontal="center" vertical="center"/>
    </xf>
    <xf numFmtId="164" fontId="33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left" vertical="center" wrapText="1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66" fontId="3" fillId="0" borderId="0" xfId="2" applyNumberFormat="1" applyFont="1" applyFill="1" applyBorder="1" applyAlignment="1">
      <alignment horizontal="center"/>
    </xf>
    <xf numFmtId="49" fontId="36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66" fontId="20" fillId="2" borderId="0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8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1" fillId="0" borderId="1" xfId="1" applyNumberFormat="1" applyFont="1" applyFill="1" applyBorder="1" applyAlignment="1">
      <alignment horizontal="center" vertical="center" wrapText="1"/>
    </xf>
    <xf numFmtId="166" fontId="31" fillId="0" borderId="0" xfId="1" applyNumberFormat="1" applyFont="1" applyFill="1" applyBorder="1" applyAlignment="1">
      <alignment horizontal="center" vertical="center" wrapText="1"/>
    </xf>
    <xf numFmtId="166" fontId="2" fillId="0" borderId="0" xfId="2" applyNumberFormat="1" applyFont="1" applyFill="1" applyBorder="1"/>
    <xf numFmtId="49" fontId="24" fillId="0" borderId="1" xfId="1" applyNumberFormat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8" fillId="2" borderId="1" xfId="3" applyNumberFormat="1" applyFont="1" applyFill="1" applyBorder="1" applyAlignment="1">
      <alignment horizontal="center" vertical="center" wrapText="1"/>
    </xf>
    <xf numFmtId="166" fontId="38" fillId="0" borderId="1" xfId="0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9" fillId="0" borderId="1" xfId="3" applyNumberFormat="1" applyFont="1" applyFill="1" applyBorder="1" applyAlignment="1">
      <alignment horizontal="center" vertical="center" wrapText="1"/>
    </xf>
    <xf numFmtId="166" fontId="39" fillId="0" borderId="1" xfId="0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/>
    </xf>
    <xf numFmtId="164" fontId="39" fillId="0" borderId="1" xfId="3" applyNumberFormat="1" applyFont="1" applyFill="1" applyBorder="1" applyAlignment="1">
      <alignment horizontal="center" vertical="center"/>
    </xf>
    <xf numFmtId="166" fontId="38" fillId="0" borderId="1" xfId="1" applyNumberFormat="1" applyFont="1" applyFill="1" applyBorder="1" applyAlignment="1">
      <alignment horizontal="center" vertical="center" wrapText="1"/>
    </xf>
    <xf numFmtId="166" fontId="39" fillId="0" borderId="1" xfId="1" applyNumberFormat="1" applyFont="1" applyFill="1" applyBorder="1" applyAlignment="1">
      <alignment horizontal="center" vertical="center" wrapText="1"/>
    </xf>
    <xf numFmtId="49" fontId="37" fillId="0" borderId="1" xfId="1" applyNumberFormat="1" applyFont="1" applyFill="1" applyBorder="1" applyAlignment="1">
      <alignment horizontal="center" vertical="center" wrapText="1"/>
    </xf>
    <xf numFmtId="168" fontId="38" fillId="0" borderId="1" xfId="1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40" fillId="0" borderId="1" xfId="2" applyNumberFormat="1" applyFont="1" applyFill="1" applyBorder="1" applyAlignment="1">
      <alignment horizontal="left" vertical="center" wrapText="1"/>
    </xf>
    <xf numFmtId="0" fontId="40" fillId="0" borderId="1" xfId="2" applyNumberFormat="1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vertical="top" wrapText="1"/>
    </xf>
    <xf numFmtId="166" fontId="18" fillId="0" borderId="0" xfId="2" applyNumberFormat="1" applyFont="1" applyFill="1"/>
    <xf numFmtId="166" fontId="33" fillId="0" borderId="0" xfId="1" applyNumberFormat="1" applyFont="1" applyFill="1" applyBorder="1" applyAlignment="1">
      <alignment horizontal="center" vertical="center" wrapText="1"/>
    </xf>
    <xf numFmtId="166" fontId="33" fillId="2" borderId="0" xfId="1" applyNumberFormat="1" applyFont="1" applyFill="1" applyBorder="1" applyAlignment="1">
      <alignment horizontal="center" vertical="center" wrapText="1"/>
    </xf>
    <xf numFmtId="0" fontId="30" fillId="0" borderId="0" xfId="3" applyFont="1" applyFill="1" applyBorder="1"/>
    <xf numFmtId="166" fontId="31" fillId="2" borderId="0" xfId="1" applyNumberFormat="1" applyFont="1" applyFill="1" applyBorder="1" applyAlignment="1">
      <alignment horizontal="center" vertical="center" wrapText="1"/>
    </xf>
    <xf numFmtId="0" fontId="30" fillId="0" borderId="0" xfId="0" applyFont="1" applyBorder="1"/>
    <xf numFmtId="49" fontId="22" fillId="0" borderId="1" xfId="3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 shrinkToFit="1"/>
    </xf>
    <xf numFmtId="0" fontId="41" fillId="0" borderId="1" xfId="3" applyNumberFormat="1" applyFont="1" applyFill="1" applyBorder="1" applyAlignment="1">
      <alignment horizontal="left" vertical="center" wrapText="1" shrinkToFit="1"/>
    </xf>
    <xf numFmtId="0" fontId="4" fillId="0" borderId="0" xfId="2" applyFont="1" applyFill="1" applyBorder="1" applyAlignment="1">
      <alignment horizontal="center" vertical="center" wrapText="1"/>
    </xf>
    <xf numFmtId="0" fontId="38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center" vertical="center" wrapText="1"/>
    </xf>
    <xf numFmtId="166" fontId="26" fillId="0" borderId="0" xfId="3" applyNumberFormat="1" applyFont="1" applyFill="1" applyBorder="1"/>
    <xf numFmtId="0" fontId="42" fillId="2" borderId="1" xfId="1" applyFont="1" applyFill="1" applyBorder="1" applyAlignment="1">
      <alignment horizontal="center" vertical="center"/>
    </xf>
    <xf numFmtId="0" fontId="43" fillId="2" borderId="1" xfId="1" applyFont="1" applyFill="1" applyBorder="1" applyAlignment="1">
      <alignment horizontal="center" vertical="center" wrapText="1"/>
    </xf>
    <xf numFmtId="165" fontId="43" fillId="2" borderId="1" xfId="1" applyNumberFormat="1" applyFont="1" applyFill="1" applyBorder="1" applyAlignment="1">
      <alignment horizontal="center" vertical="center" wrapText="1"/>
    </xf>
    <xf numFmtId="166" fontId="43" fillId="2" borderId="1" xfId="1" applyNumberFormat="1" applyFont="1" applyFill="1" applyBorder="1" applyAlignment="1">
      <alignment horizontal="center" vertical="center" wrapText="1"/>
    </xf>
    <xf numFmtId="166" fontId="43" fillId="2" borderId="1" xfId="3" applyNumberFormat="1" applyFont="1" applyFill="1" applyBorder="1" applyAlignment="1">
      <alignment horizontal="center" vertical="center"/>
    </xf>
    <xf numFmtId="164" fontId="43" fillId="2" borderId="1" xfId="3" applyNumberFormat="1" applyFont="1" applyFill="1" applyBorder="1" applyAlignment="1">
      <alignment horizontal="center" vertical="center"/>
    </xf>
    <xf numFmtId="166" fontId="42" fillId="2" borderId="0" xfId="1" applyNumberFormat="1" applyFont="1" applyFill="1" applyBorder="1"/>
    <xf numFmtId="0" fontId="42" fillId="2" borderId="0" xfId="1" applyFont="1" applyFill="1" applyBorder="1"/>
    <xf numFmtId="49" fontId="43" fillId="2" borderId="1" xfId="1" applyNumberFormat="1" applyFont="1" applyFill="1" applyBorder="1" applyAlignment="1">
      <alignment horizontal="center" vertical="center" wrapText="1"/>
    </xf>
    <xf numFmtId="0" fontId="42" fillId="2" borderId="1" xfId="1" applyFont="1" applyFill="1" applyBorder="1" applyAlignment="1">
      <alignment vertical="center"/>
    </xf>
    <xf numFmtId="0" fontId="20" fillId="0" borderId="1" xfId="1" applyFont="1" applyFill="1" applyBorder="1" applyAlignment="1">
      <alignment horizontal="center" vertical="center" wrapText="1"/>
    </xf>
    <xf numFmtId="49" fontId="32" fillId="0" borderId="1" xfId="1" applyNumberFormat="1" applyFont="1" applyFill="1" applyBorder="1" applyAlignment="1">
      <alignment horizontal="center" vertical="center"/>
    </xf>
    <xf numFmtId="49" fontId="44" fillId="0" borderId="1" xfId="1" applyNumberFormat="1" applyFont="1" applyFill="1" applyBorder="1" applyAlignment="1">
      <alignment horizontal="center" vertical="center"/>
    </xf>
    <xf numFmtId="49" fontId="39" fillId="0" borderId="1" xfId="1" applyNumberFormat="1" applyFont="1" applyFill="1" applyBorder="1" applyAlignment="1">
      <alignment horizontal="center" vertical="center" wrapText="1"/>
    </xf>
    <xf numFmtId="0" fontId="44" fillId="0" borderId="0" xfId="1" applyFont="1" applyFill="1" applyBorder="1"/>
    <xf numFmtId="49" fontId="40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49" fontId="40" fillId="0" borderId="1" xfId="2" applyNumberFormat="1" applyFont="1" applyFill="1" applyBorder="1" applyAlignment="1">
      <alignment horizontal="center" vertical="center" wrapText="1"/>
    </xf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36" fillId="0" borderId="1" xfId="3" applyNumberFormat="1" applyFont="1" applyFill="1" applyBorder="1" applyAlignment="1">
      <alignment horizontal="justify" vertical="center" wrapText="1" shrinkToFit="1"/>
    </xf>
    <xf numFmtId="0" fontId="40" fillId="0" borderId="1" xfId="3" applyNumberFormat="1" applyFont="1" applyFill="1" applyBorder="1" applyAlignment="1">
      <alignment horizontal="left" vertical="center" wrapText="1" shrinkToFit="1"/>
    </xf>
    <xf numFmtId="0" fontId="24" fillId="0" borderId="1" xfId="2" applyFont="1" applyFill="1" applyBorder="1" applyAlignment="1">
      <alignment vertical="center" wrapText="1"/>
    </xf>
    <xf numFmtId="166" fontId="45" fillId="0" borderId="0" xfId="3" applyNumberFormat="1" applyFont="1" applyFill="1" applyBorder="1"/>
    <xf numFmtId="164" fontId="45" fillId="0" borderId="0" xfId="3" applyNumberFormat="1" applyFont="1" applyFill="1" applyBorder="1"/>
    <xf numFmtId="0" fontId="4" fillId="0" borderId="0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49" fontId="16" fillId="0" borderId="0" xfId="2" applyNumberFormat="1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textRotation="90" wrapText="1"/>
    </xf>
    <xf numFmtId="49" fontId="7" fillId="0" borderId="1" xfId="3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49" fontId="20" fillId="0" borderId="1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3" applyNumberFormat="1" applyFont="1" applyFill="1" applyBorder="1" applyAlignment="1">
      <alignment horizontal="center" vertical="center" wrapText="1"/>
    </xf>
    <xf numFmtId="164" fontId="46" fillId="0" borderId="4" xfId="0" applyNumberFormat="1" applyFont="1" applyFill="1" applyBorder="1" applyAlignment="1">
      <alignment horizontal="center" wrapText="1"/>
    </xf>
  </cellXfs>
  <cellStyles count="4">
    <cellStyle name="Звичайний 2" xfId="3"/>
    <cellStyle name="Обычный" xfId="0" builtinId="0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33"/>
  <sheetViews>
    <sheetView showGridLines="0" tabSelected="1" view="pageBreakPreview" zoomScale="60" zoomScaleNormal="75" workbookViewId="0">
      <pane xSplit="3" ySplit="6" topLeftCell="D91" activePane="bottomRight" state="frozen"/>
      <selection pane="topRight" activeCell="D1" sqref="D1"/>
      <selection pane="bottomLeft" activeCell="A7" sqref="A7"/>
      <selection pane="bottomRight" activeCell="B107" sqref="B107:M107"/>
    </sheetView>
  </sheetViews>
  <sheetFormatPr defaultRowHeight="12.75" x14ac:dyDescent="0.2"/>
  <cols>
    <col min="1" max="1" width="12.28515625" style="20" customWidth="1"/>
    <col min="2" max="2" width="85.28515625" style="20" customWidth="1"/>
    <col min="3" max="3" width="16.140625" style="20" customWidth="1"/>
    <col min="4" max="4" width="23.5703125" style="20" customWidth="1"/>
    <col min="5" max="5" width="23.85546875" style="20" customWidth="1"/>
    <col min="6" max="6" width="23.140625" style="33" customWidth="1"/>
    <col min="7" max="10" width="21.28515625" style="3" hidden="1" customWidth="1"/>
    <col min="11" max="11" width="25.28515625" style="3" customWidth="1"/>
    <col min="12" max="12" width="22.5703125" style="1" customWidth="1"/>
    <col min="13" max="13" width="16" style="1" customWidth="1"/>
    <col min="14" max="14" width="23.85546875" style="1" hidden="1" customWidth="1"/>
    <col min="15" max="15" width="25" style="1" hidden="1" customWidth="1"/>
    <col min="16" max="16" width="14.7109375" style="1" hidden="1" customWidth="1"/>
    <col min="17" max="17" width="16.140625" style="1" customWidth="1"/>
    <col min="18" max="18" width="23.140625" style="33" customWidth="1"/>
    <col min="19" max="19" width="21.85546875" style="1" customWidth="1"/>
    <col min="20" max="20" width="10.85546875" style="3" bestFit="1" customWidth="1"/>
    <col min="21" max="21" width="24.140625" style="3" hidden="1" customWidth="1"/>
    <col min="22" max="23" width="15.85546875" style="3" hidden="1" customWidth="1"/>
    <col min="24" max="24" width="12.28515625" style="3" hidden="1" customWidth="1"/>
    <col min="25" max="25" width="21.28515625" style="3" hidden="1" customWidth="1"/>
    <col min="26" max="26" width="0" style="3" hidden="1" customWidth="1"/>
    <col min="27" max="27" width="15.140625" style="3" hidden="1" customWidth="1"/>
    <col min="28" max="16384" width="9.140625" style="3"/>
  </cols>
  <sheetData>
    <row r="1" spans="1:35" ht="30" customHeight="1" x14ac:dyDescent="0.2">
      <c r="A1" s="180" t="s">
        <v>190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</row>
    <row r="2" spans="1:35" ht="18.75" x14ac:dyDescent="0.3">
      <c r="A2" s="23" t="s">
        <v>50</v>
      </c>
      <c r="B2" s="18"/>
      <c r="C2" s="18"/>
      <c r="D2" s="101"/>
      <c r="E2" s="18"/>
      <c r="F2" s="101"/>
      <c r="G2" s="101"/>
      <c r="H2" s="101"/>
      <c r="I2" s="101"/>
      <c r="J2" s="101"/>
      <c r="K2" s="101"/>
      <c r="R2" s="101"/>
      <c r="S2" s="5" t="s">
        <v>14</v>
      </c>
      <c r="T2" s="5"/>
    </row>
    <row r="3" spans="1:35" s="69" customFormat="1" ht="15" customHeight="1" x14ac:dyDescent="0.25">
      <c r="A3" s="184" t="s">
        <v>0</v>
      </c>
      <c r="B3" s="187" t="s">
        <v>1</v>
      </c>
      <c r="C3" s="187" t="s">
        <v>2</v>
      </c>
      <c r="D3" s="182" t="s">
        <v>137</v>
      </c>
      <c r="E3" s="182" t="s">
        <v>138</v>
      </c>
      <c r="F3" s="182" t="s">
        <v>182</v>
      </c>
      <c r="G3" s="182" t="s">
        <v>65</v>
      </c>
      <c r="H3" s="182" t="s">
        <v>141</v>
      </c>
      <c r="I3" s="182" t="s">
        <v>165</v>
      </c>
      <c r="J3" s="182" t="s">
        <v>181</v>
      </c>
      <c r="K3" s="182" t="s">
        <v>189</v>
      </c>
      <c r="L3" s="182" t="s">
        <v>183</v>
      </c>
      <c r="M3" s="182" t="s">
        <v>3</v>
      </c>
      <c r="N3" s="182" t="s">
        <v>184</v>
      </c>
      <c r="O3" s="182" t="s">
        <v>185</v>
      </c>
      <c r="P3" s="182" t="s">
        <v>3</v>
      </c>
      <c r="Q3" s="183" t="s">
        <v>186</v>
      </c>
      <c r="R3" s="182" t="s">
        <v>187</v>
      </c>
      <c r="S3" s="182" t="s">
        <v>188</v>
      </c>
      <c r="T3" s="182" t="s">
        <v>3</v>
      </c>
    </row>
    <row r="4" spans="1:35" s="69" customFormat="1" ht="79.5" customHeight="1" x14ac:dyDescent="0.25">
      <c r="A4" s="184"/>
      <c r="B4" s="187"/>
      <c r="C4" s="187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3"/>
      <c r="R4" s="182"/>
      <c r="S4" s="182"/>
      <c r="T4" s="182"/>
    </row>
    <row r="5" spans="1:35" s="73" customFormat="1" ht="20.25" x14ac:dyDescent="0.2">
      <c r="A5" s="70" t="s">
        <v>4</v>
      </c>
      <c r="B5" s="71" t="s">
        <v>5</v>
      </c>
      <c r="C5" s="71">
        <f>B5+1</f>
        <v>3</v>
      </c>
      <c r="D5" s="71">
        <f>C5+1</f>
        <v>4</v>
      </c>
      <c r="E5" s="71">
        <f t="shared" ref="E5" si="0">D5+1</f>
        <v>5</v>
      </c>
      <c r="F5" s="71">
        <f>E5+1</f>
        <v>6</v>
      </c>
      <c r="G5" s="71">
        <f t="shared" ref="G5" si="1">F5+1</f>
        <v>7</v>
      </c>
      <c r="H5" s="71">
        <f t="shared" ref="H5" si="2">G5+1</f>
        <v>8</v>
      </c>
      <c r="I5" s="71">
        <f t="shared" ref="I5" si="3">H5+1</f>
        <v>9</v>
      </c>
      <c r="J5" s="71">
        <f t="shared" ref="J5" si="4">I5+1</f>
        <v>10</v>
      </c>
      <c r="K5" s="71">
        <v>7</v>
      </c>
      <c r="L5" s="71">
        <f t="shared" ref="L5:T5" si="5">K5+1</f>
        <v>8</v>
      </c>
      <c r="M5" s="71">
        <f t="shared" ref="M5" si="6">L5+1</f>
        <v>9</v>
      </c>
      <c r="N5" s="71">
        <f t="shared" ref="N5" si="7">M5+1</f>
        <v>10</v>
      </c>
      <c r="O5" s="71">
        <f t="shared" ref="O5" si="8">N5+1</f>
        <v>11</v>
      </c>
      <c r="P5" s="71">
        <f t="shared" ref="P5" si="9">O5+1</f>
        <v>12</v>
      </c>
      <c r="Q5" s="71">
        <v>10</v>
      </c>
      <c r="R5" s="71">
        <f t="shared" si="5"/>
        <v>11</v>
      </c>
      <c r="S5" s="71">
        <f t="shared" si="5"/>
        <v>12</v>
      </c>
      <c r="T5" s="71">
        <f t="shared" si="5"/>
        <v>13</v>
      </c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</row>
    <row r="6" spans="1:35" s="74" customFormat="1" ht="26.25" customHeight="1" x14ac:dyDescent="0.2">
      <c r="A6" s="188" t="s">
        <v>6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</row>
    <row r="7" spans="1:35" s="79" customFormat="1" ht="34.5" customHeight="1" x14ac:dyDescent="0.25">
      <c r="A7" s="75">
        <v>1</v>
      </c>
      <c r="B7" s="84" t="s">
        <v>67</v>
      </c>
      <c r="C7" s="76" t="s">
        <v>15</v>
      </c>
      <c r="D7" s="119">
        <v>3259847.3</v>
      </c>
      <c r="E7" s="119">
        <v>3259847.3</v>
      </c>
      <c r="F7" s="119">
        <f>SUM(G7:J7)</f>
        <v>1065727.723</v>
      </c>
      <c r="G7" s="119">
        <v>228775.38699999999</v>
      </c>
      <c r="H7" s="119">
        <v>295552.81199999998</v>
      </c>
      <c r="I7" s="119">
        <v>261013.09899999999</v>
      </c>
      <c r="J7" s="119">
        <v>280386.42499999999</v>
      </c>
      <c r="K7" s="121">
        <v>1027616.5820000001</v>
      </c>
      <c r="L7" s="122">
        <f t="shared" ref="L7:L44" si="10">F7-K7</f>
        <v>38111.140999999945</v>
      </c>
      <c r="M7" s="123">
        <f>F7/K7*100</f>
        <v>103.70869268436931</v>
      </c>
      <c r="N7" s="122">
        <f>E7/12*4</f>
        <v>1086615.7666666666</v>
      </c>
      <c r="O7" s="122">
        <f t="shared" ref="O7:O44" si="11">F7-N7</f>
        <v>-20888.043666666606</v>
      </c>
      <c r="P7" s="123">
        <f t="shared" ref="P7:P43" si="12">F7/N7*100</f>
        <v>98.077697351038509</v>
      </c>
      <c r="Q7" s="123">
        <f>F7/E7*100</f>
        <v>32.692565783679498</v>
      </c>
      <c r="R7" s="119">
        <v>863190.53499999992</v>
      </c>
      <c r="S7" s="122">
        <f t="shared" ref="S7:S44" si="13">F7-R7</f>
        <v>202537.18800000008</v>
      </c>
      <c r="T7" s="123">
        <f>F7/R7*100</f>
        <v>123.46378693783988</v>
      </c>
      <c r="U7" s="77"/>
      <c r="V7" s="77"/>
      <c r="W7" s="77">
        <f>U7-V7</f>
        <v>0</v>
      </c>
      <c r="X7" s="78" t="e">
        <f>U7/V7*100</f>
        <v>#DIV/0!</v>
      </c>
    </row>
    <row r="8" spans="1:35" s="79" customFormat="1" ht="39" x14ac:dyDescent="0.25">
      <c r="A8" s="75">
        <f>A7+1</f>
        <v>2</v>
      </c>
      <c r="B8" s="84" t="s">
        <v>38</v>
      </c>
      <c r="C8" s="76" t="s">
        <v>17</v>
      </c>
      <c r="D8" s="119">
        <v>760</v>
      </c>
      <c r="E8" s="119">
        <v>760</v>
      </c>
      <c r="F8" s="119">
        <f t="shared" ref="F8:F70" si="14">SUM(G8:J8)</f>
        <v>1002.427</v>
      </c>
      <c r="G8" s="119">
        <v>0</v>
      </c>
      <c r="H8" s="119">
        <v>74.150000000000006</v>
      </c>
      <c r="I8" s="119">
        <v>881.80200000000002</v>
      </c>
      <c r="J8" s="119">
        <v>46.475000000000001</v>
      </c>
      <c r="K8" s="121">
        <v>760</v>
      </c>
      <c r="L8" s="122">
        <f t="shared" si="10"/>
        <v>242.42700000000002</v>
      </c>
      <c r="M8" s="123">
        <f>F8/K8*100</f>
        <v>131.8982894736842</v>
      </c>
      <c r="N8" s="122">
        <f t="shared" ref="N8:N48" si="15">E8/12*4</f>
        <v>253.33333333333334</v>
      </c>
      <c r="O8" s="122">
        <f t="shared" si="11"/>
        <v>749.09366666666665</v>
      </c>
      <c r="P8" s="123">
        <f t="shared" si="12"/>
        <v>395.6948684210526</v>
      </c>
      <c r="Q8" s="123">
        <f t="shared" ref="Q8:Q70" si="16">F8/E8*100</f>
        <v>131.8982894736842</v>
      </c>
      <c r="R8" s="119">
        <v>299.91699999999997</v>
      </c>
      <c r="S8" s="122">
        <f t="shared" si="13"/>
        <v>702.51</v>
      </c>
      <c r="T8" s="123">
        <f>F8/R8*100</f>
        <v>334.23480496270639</v>
      </c>
      <c r="U8" s="77"/>
      <c r="V8" s="77"/>
      <c r="W8" s="77">
        <f>R7/0.5</f>
        <v>1726381.0699999998</v>
      </c>
      <c r="X8" s="78">
        <f>V8/W8*100</f>
        <v>0</v>
      </c>
    </row>
    <row r="9" spans="1:35" s="79" customFormat="1" ht="39" x14ac:dyDescent="0.25">
      <c r="A9" s="75">
        <v>3</v>
      </c>
      <c r="B9" s="84" t="s">
        <v>103</v>
      </c>
      <c r="C9" s="76" t="s">
        <v>104</v>
      </c>
      <c r="D9" s="119">
        <f>SUM(D10:D13)</f>
        <v>639</v>
      </c>
      <c r="E9" s="119">
        <f>SUM(E10:E13)</f>
        <v>639</v>
      </c>
      <c r="F9" s="119">
        <f t="shared" si="14"/>
        <v>178.99700000000001</v>
      </c>
      <c r="G9" s="119">
        <f t="shared" ref="G9:K9" si="17">SUM(G10:G13)</f>
        <v>1.4119999999999999</v>
      </c>
      <c r="H9" s="119">
        <f>SUM(H10:H13)</f>
        <v>166.416</v>
      </c>
      <c r="I9" s="119">
        <f>SUM(I10:I13)</f>
        <v>10.050000000000001</v>
      </c>
      <c r="J9" s="119">
        <f>SUM(J10:J13)</f>
        <v>1.119</v>
      </c>
      <c r="K9" s="119">
        <f t="shared" si="17"/>
        <v>177.76000000000002</v>
      </c>
      <c r="L9" s="122">
        <f t="shared" si="10"/>
        <v>1.2369999999999948</v>
      </c>
      <c r="M9" s="123">
        <f>F9/K9*100</f>
        <v>100.6958820882088</v>
      </c>
      <c r="N9" s="122">
        <f t="shared" si="15"/>
        <v>213</v>
      </c>
      <c r="O9" s="122">
        <f t="shared" si="11"/>
        <v>-34.002999999999986</v>
      </c>
      <c r="P9" s="123">
        <f t="shared" si="12"/>
        <v>84.036150234741797</v>
      </c>
      <c r="Q9" s="123">
        <f t="shared" si="16"/>
        <v>28.012050078247263</v>
      </c>
      <c r="R9" s="119">
        <f>SUM(R10:R13)</f>
        <v>161.40899999999999</v>
      </c>
      <c r="S9" s="122">
        <f t="shared" si="13"/>
        <v>17.588000000000022</v>
      </c>
      <c r="T9" s="123">
        <f>F9/R9*100</f>
        <v>110.89654232415791</v>
      </c>
      <c r="U9" s="77"/>
      <c r="V9" s="77"/>
      <c r="W9" s="77"/>
      <c r="X9" s="78"/>
    </row>
    <row r="10" spans="1:35" s="79" customFormat="1" ht="58.5" x14ac:dyDescent="0.25">
      <c r="A10" s="80" t="s">
        <v>105</v>
      </c>
      <c r="B10" s="166" t="s">
        <v>130</v>
      </c>
      <c r="C10" s="170" t="s">
        <v>131</v>
      </c>
      <c r="D10" s="119">
        <v>18</v>
      </c>
      <c r="E10" s="119">
        <v>18</v>
      </c>
      <c r="F10" s="124">
        <f t="shared" si="14"/>
        <v>4.2080000000000002</v>
      </c>
      <c r="G10" s="119">
        <v>0.79500000000000004</v>
      </c>
      <c r="H10" s="119">
        <v>3.4129999999999998</v>
      </c>
      <c r="I10" s="119">
        <v>0</v>
      </c>
      <c r="J10" s="119">
        <v>0</v>
      </c>
      <c r="K10" s="121">
        <v>4.1900000000000004</v>
      </c>
      <c r="L10" s="122">
        <f t="shared" ref="L10" si="18">F10-K10</f>
        <v>1.7999999999999794E-2</v>
      </c>
      <c r="M10" s="127">
        <f t="shared" ref="M10" si="19">F10/K10*100</f>
        <v>100.42959427207636</v>
      </c>
      <c r="N10" s="122">
        <f t="shared" si="15"/>
        <v>6</v>
      </c>
      <c r="O10" s="122">
        <f t="shared" ref="O10" si="20">F10-N10</f>
        <v>-1.7919999999999998</v>
      </c>
      <c r="P10" s="127">
        <f t="shared" si="12"/>
        <v>70.13333333333334</v>
      </c>
      <c r="Q10" s="123">
        <f t="shared" si="16"/>
        <v>23.377777777777776</v>
      </c>
      <c r="R10" s="119">
        <v>4.5510000000000002</v>
      </c>
      <c r="S10" s="122">
        <f t="shared" si="13"/>
        <v>-0.34299999999999997</v>
      </c>
      <c r="T10" s="123">
        <f t="shared" ref="T10:T11" si="21">F10/R10*100</f>
        <v>92.463194902219286</v>
      </c>
      <c r="U10" s="77"/>
      <c r="V10" s="77"/>
      <c r="W10" s="77"/>
      <c r="X10" s="78"/>
    </row>
    <row r="11" spans="1:35" s="83" customFormat="1" ht="78" x14ac:dyDescent="0.25">
      <c r="A11" s="80" t="s">
        <v>106</v>
      </c>
      <c r="B11" s="166" t="s">
        <v>98</v>
      </c>
      <c r="C11" s="68" t="s">
        <v>99</v>
      </c>
      <c r="D11" s="124">
        <v>415</v>
      </c>
      <c r="E11" s="124">
        <v>415</v>
      </c>
      <c r="F11" s="124">
        <f t="shared" si="14"/>
        <v>143.292</v>
      </c>
      <c r="G11" s="124">
        <v>0</v>
      </c>
      <c r="H11" s="124">
        <v>143.292</v>
      </c>
      <c r="I11" s="124">
        <v>0</v>
      </c>
      <c r="J11" s="124">
        <v>0</v>
      </c>
      <c r="K11" s="125">
        <v>143</v>
      </c>
      <c r="L11" s="126">
        <f t="shared" si="10"/>
        <v>0.29200000000000159</v>
      </c>
      <c r="M11" s="127"/>
      <c r="N11" s="126">
        <f t="shared" si="15"/>
        <v>138.33333333333334</v>
      </c>
      <c r="O11" s="126">
        <f t="shared" si="11"/>
        <v>4.9586666666666588</v>
      </c>
      <c r="P11" s="127">
        <f t="shared" si="12"/>
        <v>103.584578313253</v>
      </c>
      <c r="Q11" s="127">
        <f t="shared" si="16"/>
        <v>34.528192771084335</v>
      </c>
      <c r="R11" s="124">
        <v>69.736000000000004</v>
      </c>
      <c r="S11" s="126">
        <f t="shared" si="13"/>
        <v>73.555999999999997</v>
      </c>
      <c r="T11" s="127">
        <f t="shared" si="21"/>
        <v>205.47780199609957</v>
      </c>
    </row>
    <row r="12" spans="1:35" s="83" customFormat="1" ht="39" x14ac:dyDescent="0.25">
      <c r="A12" s="80" t="s">
        <v>107</v>
      </c>
      <c r="B12" s="166" t="s">
        <v>127</v>
      </c>
      <c r="C12" s="68" t="s">
        <v>102</v>
      </c>
      <c r="D12" s="124">
        <v>96</v>
      </c>
      <c r="E12" s="124">
        <v>96</v>
      </c>
      <c r="F12" s="124">
        <f t="shared" si="14"/>
        <v>31.337</v>
      </c>
      <c r="G12" s="124">
        <v>0.45700000000000002</v>
      </c>
      <c r="H12" s="124">
        <v>19.710999999999999</v>
      </c>
      <c r="I12" s="124">
        <v>10.050000000000001</v>
      </c>
      <c r="J12" s="124">
        <v>1.119</v>
      </c>
      <c r="K12" s="125">
        <v>30.42</v>
      </c>
      <c r="L12" s="126">
        <f t="shared" si="10"/>
        <v>0.91699999999999804</v>
      </c>
      <c r="M12" s="127">
        <f>F12/K12*100</f>
        <v>103.0144641683103</v>
      </c>
      <c r="N12" s="126">
        <f t="shared" si="15"/>
        <v>32</v>
      </c>
      <c r="O12" s="126">
        <f t="shared" si="11"/>
        <v>-0.66300000000000026</v>
      </c>
      <c r="P12" s="127">
        <f t="shared" si="12"/>
        <v>97.928124999999994</v>
      </c>
      <c r="Q12" s="127">
        <f t="shared" si="16"/>
        <v>32.642708333333331</v>
      </c>
      <c r="R12" s="124">
        <v>23.083000000000002</v>
      </c>
      <c r="S12" s="126">
        <f t="shared" si="13"/>
        <v>8.2539999999999978</v>
      </c>
      <c r="T12" s="127">
        <f t="shared" ref="T12:T19" si="22">F12/R12*100</f>
        <v>135.7579170818351</v>
      </c>
    </row>
    <row r="13" spans="1:35" s="83" customFormat="1" ht="39" x14ac:dyDescent="0.25">
      <c r="A13" s="80" t="s">
        <v>132</v>
      </c>
      <c r="B13" s="166" t="s">
        <v>126</v>
      </c>
      <c r="C13" s="68" t="s">
        <v>125</v>
      </c>
      <c r="D13" s="124">
        <v>110</v>
      </c>
      <c r="E13" s="124">
        <v>110</v>
      </c>
      <c r="F13" s="124">
        <f t="shared" si="14"/>
        <v>0.16</v>
      </c>
      <c r="G13" s="124">
        <v>0.16</v>
      </c>
      <c r="H13" s="124">
        <v>0</v>
      </c>
      <c r="I13" s="124">
        <v>0</v>
      </c>
      <c r="J13" s="124">
        <v>0</v>
      </c>
      <c r="K13" s="125">
        <v>0.15</v>
      </c>
      <c r="L13" s="126">
        <f t="shared" si="10"/>
        <v>1.0000000000000009E-2</v>
      </c>
      <c r="M13" s="127">
        <f>F13/K13*100</f>
        <v>106.66666666666667</v>
      </c>
      <c r="N13" s="126">
        <f t="shared" si="15"/>
        <v>36.666666666666664</v>
      </c>
      <c r="O13" s="126">
        <f t="shared" si="11"/>
        <v>-36.506666666666668</v>
      </c>
      <c r="P13" s="127">
        <f t="shared" si="12"/>
        <v>0.4363636363636364</v>
      </c>
      <c r="Q13" s="127">
        <f t="shared" si="16"/>
        <v>0.14545454545454548</v>
      </c>
      <c r="R13" s="124">
        <v>64.039000000000001</v>
      </c>
      <c r="S13" s="126">
        <f t="shared" si="13"/>
        <v>-63.879000000000005</v>
      </c>
      <c r="T13" s="127">
        <f t="shared" si="22"/>
        <v>0.24984774902793611</v>
      </c>
    </row>
    <row r="14" spans="1:35" s="79" customFormat="1" ht="32.25" customHeight="1" x14ac:dyDescent="0.25">
      <c r="A14" s="75">
        <v>4</v>
      </c>
      <c r="B14" s="107" t="s">
        <v>89</v>
      </c>
      <c r="C14" s="102" t="s">
        <v>88</v>
      </c>
      <c r="D14" s="119">
        <f>SUM(D15:D17)</f>
        <v>363500</v>
      </c>
      <c r="E14" s="119">
        <f>SUM(E15:E17)</f>
        <v>363500</v>
      </c>
      <c r="F14" s="119">
        <f t="shared" si="14"/>
        <v>123078.06800000001</v>
      </c>
      <c r="G14" s="119">
        <f t="shared" ref="G14:K14" si="23">SUM(G15:G17)</f>
        <v>34903.103000000003</v>
      </c>
      <c r="H14" s="119">
        <f t="shared" ref="H14:I14" si="24">SUM(H15:H17)</f>
        <v>30285.707999999999</v>
      </c>
      <c r="I14" s="119">
        <f t="shared" si="24"/>
        <v>27886.862000000001</v>
      </c>
      <c r="J14" s="119">
        <f t="shared" si="23"/>
        <v>30002.395000000004</v>
      </c>
      <c r="K14" s="121">
        <f t="shared" si="23"/>
        <v>116280</v>
      </c>
      <c r="L14" s="122">
        <f t="shared" si="10"/>
        <v>6798.0680000000139</v>
      </c>
      <c r="M14" s="123">
        <f>F14/K14*100</f>
        <v>105.84629170966633</v>
      </c>
      <c r="N14" s="122">
        <f t="shared" si="15"/>
        <v>121166.66666666667</v>
      </c>
      <c r="O14" s="122">
        <f t="shared" si="11"/>
        <v>1911.4013333333423</v>
      </c>
      <c r="P14" s="123">
        <f t="shared" si="12"/>
        <v>101.57749766162311</v>
      </c>
      <c r="Q14" s="123">
        <f t="shared" si="16"/>
        <v>33.859165887207702</v>
      </c>
      <c r="R14" s="119">
        <f t="shared" ref="R14" si="25">SUM(R15:R17)</f>
        <v>53326.828999999998</v>
      </c>
      <c r="S14" s="122">
        <f t="shared" si="13"/>
        <v>69751.239000000016</v>
      </c>
      <c r="T14" s="123">
        <f t="shared" si="22"/>
        <v>230.79952494456407</v>
      </c>
    </row>
    <row r="15" spans="1:35" s="83" customFormat="1" ht="39" x14ac:dyDescent="0.3">
      <c r="A15" s="80" t="s">
        <v>120</v>
      </c>
      <c r="B15" s="166" t="s">
        <v>92</v>
      </c>
      <c r="C15" s="68" t="s">
        <v>86</v>
      </c>
      <c r="D15" s="124">
        <v>7000</v>
      </c>
      <c r="E15" s="124">
        <v>7000</v>
      </c>
      <c r="F15" s="124">
        <f t="shared" si="14"/>
        <v>6218.8919999999998</v>
      </c>
      <c r="G15" s="124">
        <v>766.33199999999999</v>
      </c>
      <c r="H15" s="124">
        <v>831.39</v>
      </c>
      <c r="I15" s="124">
        <v>2540.6590000000001</v>
      </c>
      <c r="J15" s="124">
        <v>2080.511</v>
      </c>
      <c r="K15" s="125">
        <v>5680</v>
      </c>
      <c r="L15" s="126">
        <f t="shared" si="10"/>
        <v>538.89199999999983</v>
      </c>
      <c r="M15" s="123">
        <f t="shared" ref="M15:M16" si="26">F15/K15*100</f>
        <v>109.4875352112676</v>
      </c>
      <c r="N15" s="126">
        <f t="shared" si="15"/>
        <v>2333.3333333333335</v>
      </c>
      <c r="O15" s="126">
        <f t="shared" si="11"/>
        <v>3885.5586666666663</v>
      </c>
      <c r="P15" s="127">
        <f t="shared" si="12"/>
        <v>266.5239428571428</v>
      </c>
      <c r="Q15" s="127">
        <f t="shared" si="16"/>
        <v>88.841314285714276</v>
      </c>
      <c r="R15" s="124">
        <v>4224.6480000000001</v>
      </c>
      <c r="S15" s="126">
        <f t="shared" si="13"/>
        <v>1994.2439999999997</v>
      </c>
      <c r="T15" s="127">
        <f t="shared" si="22"/>
        <v>147.20497423690685</v>
      </c>
      <c r="U15" s="175">
        <f>R15+R16</f>
        <v>18462.602000000003</v>
      </c>
      <c r="V15" s="175">
        <f>F15+F16</f>
        <v>37344.498000000007</v>
      </c>
      <c r="W15" s="175">
        <f>V15-U15</f>
        <v>18881.896000000004</v>
      </c>
      <c r="X15" s="176">
        <f>V15/U15*100</f>
        <v>202.27104500221583</v>
      </c>
    </row>
    <row r="16" spans="1:35" s="83" customFormat="1" ht="39" x14ac:dyDescent="0.25">
      <c r="A16" s="80" t="s">
        <v>121</v>
      </c>
      <c r="B16" s="166" t="s">
        <v>93</v>
      </c>
      <c r="C16" s="68" t="s">
        <v>87</v>
      </c>
      <c r="D16" s="124">
        <v>90000</v>
      </c>
      <c r="E16" s="124">
        <v>90000</v>
      </c>
      <c r="F16" s="124">
        <f t="shared" si="14"/>
        <v>31125.606000000003</v>
      </c>
      <c r="G16" s="124">
        <v>10416.342000000001</v>
      </c>
      <c r="H16" s="124">
        <v>7638.7950000000001</v>
      </c>
      <c r="I16" s="124">
        <v>6469.9319999999998</v>
      </c>
      <c r="J16" s="124">
        <v>6600.5370000000003</v>
      </c>
      <c r="K16" s="125">
        <v>29900</v>
      </c>
      <c r="L16" s="126">
        <f t="shared" si="10"/>
        <v>1225.6060000000034</v>
      </c>
      <c r="M16" s="123">
        <f t="shared" si="26"/>
        <v>104.09901672240804</v>
      </c>
      <c r="N16" s="126">
        <f t="shared" si="15"/>
        <v>30000</v>
      </c>
      <c r="O16" s="126">
        <f t="shared" si="11"/>
        <v>1125.6060000000034</v>
      </c>
      <c r="P16" s="127">
        <f t="shared" si="12"/>
        <v>103.75202000000002</v>
      </c>
      <c r="Q16" s="127">
        <f t="shared" si="16"/>
        <v>34.584006666666674</v>
      </c>
      <c r="R16" s="124">
        <v>14237.954000000002</v>
      </c>
      <c r="S16" s="126">
        <f t="shared" si="13"/>
        <v>16887.652000000002</v>
      </c>
      <c r="T16" s="127">
        <f t="shared" si="22"/>
        <v>218.61010367079427</v>
      </c>
      <c r="W16" s="83">
        <v>18881.896000000001</v>
      </c>
    </row>
    <row r="17" spans="1:23" s="83" customFormat="1" ht="39" x14ac:dyDescent="0.25">
      <c r="A17" s="80" t="s">
        <v>122</v>
      </c>
      <c r="B17" s="166" t="s">
        <v>94</v>
      </c>
      <c r="C17" s="68" t="s">
        <v>58</v>
      </c>
      <c r="D17" s="124">
        <f t="shared" ref="D17:E17" si="27">SUM(D18:D19)</f>
        <v>266500</v>
      </c>
      <c r="E17" s="124">
        <f t="shared" si="27"/>
        <v>266500</v>
      </c>
      <c r="F17" s="124">
        <f t="shared" si="14"/>
        <v>85733.57</v>
      </c>
      <c r="G17" s="124">
        <f>SUM(G18:G19)</f>
        <v>23720.429</v>
      </c>
      <c r="H17" s="124">
        <f>SUM(H18:H19)</f>
        <v>21815.523000000001</v>
      </c>
      <c r="I17" s="124">
        <f>SUM(I18:I19)</f>
        <v>18876.271000000001</v>
      </c>
      <c r="J17" s="124">
        <f>SUM(J18:J19)</f>
        <v>21321.347000000002</v>
      </c>
      <c r="K17" s="124">
        <f>SUM(K18:K19)</f>
        <v>80700</v>
      </c>
      <c r="L17" s="126">
        <f t="shared" si="10"/>
        <v>5033.570000000007</v>
      </c>
      <c r="M17" s="127">
        <f t="shared" ref="M17:M28" si="28">F17/K17*100</f>
        <v>106.237385377943</v>
      </c>
      <c r="N17" s="126">
        <f t="shared" si="15"/>
        <v>88833.333333333328</v>
      </c>
      <c r="O17" s="126">
        <f t="shared" si="11"/>
        <v>-3099.7633333333215</v>
      </c>
      <c r="P17" s="127">
        <f t="shared" si="12"/>
        <v>96.510585365853672</v>
      </c>
      <c r="Q17" s="127">
        <f t="shared" si="16"/>
        <v>32.170195121951224</v>
      </c>
      <c r="R17" s="124">
        <v>34864.226999999999</v>
      </c>
      <c r="S17" s="126">
        <f t="shared" si="13"/>
        <v>50869.343000000008</v>
      </c>
      <c r="T17" s="127">
        <f t="shared" si="22"/>
        <v>245.9069865509997</v>
      </c>
    </row>
    <row r="18" spans="1:23" s="83" customFormat="1" ht="117" x14ac:dyDescent="0.25">
      <c r="A18" s="80" t="s">
        <v>144</v>
      </c>
      <c r="B18" s="166" t="s">
        <v>139</v>
      </c>
      <c r="C18" s="68">
        <v>14040100</v>
      </c>
      <c r="D18" s="124">
        <v>116500</v>
      </c>
      <c r="E18" s="124">
        <v>116500</v>
      </c>
      <c r="F18" s="124">
        <f t="shared" si="14"/>
        <v>51343.254000000001</v>
      </c>
      <c r="G18" s="124">
        <v>13155.423000000001</v>
      </c>
      <c r="H18" s="124">
        <v>13427.712</v>
      </c>
      <c r="I18" s="124">
        <v>11258.771000000001</v>
      </c>
      <c r="J18" s="124">
        <v>13501.348</v>
      </c>
      <c r="K18" s="125">
        <v>48500</v>
      </c>
      <c r="L18" s="126">
        <f t="shared" ref="L18:L20" si="29">F18-K18</f>
        <v>2843.2540000000008</v>
      </c>
      <c r="M18" s="127">
        <f t="shared" ref="M18:M19" si="30">F18/K18*100</f>
        <v>105.86237938144329</v>
      </c>
      <c r="N18" s="126">
        <f t="shared" si="15"/>
        <v>38833.333333333336</v>
      </c>
      <c r="O18" s="126">
        <f t="shared" ref="O18:O20" si="31">F18-N18</f>
        <v>12509.920666666665</v>
      </c>
      <c r="P18" s="127">
        <f t="shared" ref="P18:P19" si="32">F18/N18*100</f>
        <v>132.21438798283259</v>
      </c>
      <c r="Q18" s="127">
        <f t="shared" si="16"/>
        <v>44.071462660944206</v>
      </c>
      <c r="R18" s="124">
        <v>0</v>
      </c>
      <c r="S18" s="126">
        <f t="shared" si="13"/>
        <v>51343.254000000001</v>
      </c>
      <c r="T18" s="127"/>
    </row>
    <row r="19" spans="1:23" s="83" customFormat="1" ht="78" x14ac:dyDescent="0.25">
      <c r="A19" s="80" t="s">
        <v>145</v>
      </c>
      <c r="B19" s="166" t="s">
        <v>140</v>
      </c>
      <c r="C19" s="68">
        <v>14040200</v>
      </c>
      <c r="D19" s="124">
        <v>150000</v>
      </c>
      <c r="E19" s="124">
        <v>150000</v>
      </c>
      <c r="F19" s="124">
        <f t="shared" si="14"/>
        <v>34390.315999999999</v>
      </c>
      <c r="G19" s="124">
        <v>10565.005999999999</v>
      </c>
      <c r="H19" s="124">
        <v>8387.8109999999997</v>
      </c>
      <c r="I19" s="124">
        <v>7617.5</v>
      </c>
      <c r="J19" s="124">
        <v>7819.9989999999998</v>
      </c>
      <c r="K19" s="125">
        <v>32200</v>
      </c>
      <c r="L19" s="126">
        <f t="shared" si="29"/>
        <v>2190.3159999999989</v>
      </c>
      <c r="M19" s="127">
        <f t="shared" si="30"/>
        <v>106.80222360248446</v>
      </c>
      <c r="N19" s="126">
        <f t="shared" si="15"/>
        <v>50000</v>
      </c>
      <c r="O19" s="126">
        <f t="shared" si="31"/>
        <v>-15609.684000000001</v>
      </c>
      <c r="P19" s="127">
        <f t="shared" si="32"/>
        <v>68.780631999999997</v>
      </c>
      <c r="Q19" s="127">
        <f t="shared" si="16"/>
        <v>22.92687733333333</v>
      </c>
      <c r="R19" s="124">
        <v>34864.226999999999</v>
      </c>
      <c r="S19" s="126">
        <f t="shared" si="13"/>
        <v>-473.91100000000006</v>
      </c>
      <c r="T19" s="127">
        <f t="shared" si="22"/>
        <v>98.640695518647235</v>
      </c>
    </row>
    <row r="20" spans="1:23" s="108" customFormat="1" ht="23.25" x14ac:dyDescent="0.25">
      <c r="A20" s="75">
        <v>5</v>
      </c>
      <c r="B20" s="84" t="s">
        <v>142</v>
      </c>
      <c r="C20" s="76" t="s">
        <v>143</v>
      </c>
      <c r="D20" s="119">
        <v>0</v>
      </c>
      <c r="E20" s="119">
        <v>0</v>
      </c>
      <c r="F20" s="119">
        <f t="shared" si="14"/>
        <v>1.2E-2</v>
      </c>
      <c r="G20" s="119">
        <v>0</v>
      </c>
      <c r="H20" s="119">
        <v>0</v>
      </c>
      <c r="I20" s="119">
        <v>0</v>
      </c>
      <c r="J20" s="119">
        <v>1.2E-2</v>
      </c>
      <c r="K20" s="121"/>
      <c r="L20" s="122">
        <f t="shared" si="29"/>
        <v>1.2E-2</v>
      </c>
      <c r="M20" s="123"/>
      <c r="N20" s="122">
        <f t="shared" si="15"/>
        <v>0</v>
      </c>
      <c r="O20" s="122">
        <f t="shared" si="31"/>
        <v>1.2E-2</v>
      </c>
      <c r="P20" s="123"/>
      <c r="Q20" s="123"/>
      <c r="R20" s="119">
        <v>6.7789999999999999</v>
      </c>
      <c r="S20" s="122">
        <f t="shared" si="13"/>
        <v>-6.7670000000000003</v>
      </c>
      <c r="T20" s="123"/>
      <c r="U20" s="150"/>
      <c r="V20" s="150"/>
    </row>
    <row r="21" spans="1:23" s="108" customFormat="1" ht="39" x14ac:dyDescent="0.25">
      <c r="A21" s="75">
        <v>6</v>
      </c>
      <c r="B21" s="84" t="s">
        <v>136</v>
      </c>
      <c r="C21" s="76" t="s">
        <v>40</v>
      </c>
      <c r="D21" s="119">
        <f>D22+D23+D24+D26+D25</f>
        <v>1164164.4849999999</v>
      </c>
      <c r="E21" s="119">
        <f>E22+E23+E24+E26+E25</f>
        <v>1164164.4849999999</v>
      </c>
      <c r="F21" s="119">
        <f t="shared" si="14"/>
        <v>436144.652</v>
      </c>
      <c r="G21" s="119">
        <f t="shared" ref="G21:K21" si="33">G22+G23+G24+G26+G25</f>
        <v>135837.954</v>
      </c>
      <c r="H21" s="119">
        <f t="shared" ref="H21:I21" si="34">H22+H23+H24+H26+H25</f>
        <v>97665.689000000013</v>
      </c>
      <c r="I21" s="119">
        <f t="shared" si="34"/>
        <v>71427.986999999994</v>
      </c>
      <c r="J21" s="119">
        <f t="shared" si="33"/>
        <v>131213.022</v>
      </c>
      <c r="K21" s="121">
        <f t="shared" si="33"/>
        <v>403889.33900000004</v>
      </c>
      <c r="L21" s="122">
        <f t="shared" si="10"/>
        <v>32255.312999999966</v>
      </c>
      <c r="M21" s="123">
        <f t="shared" si="28"/>
        <v>107.98617588665789</v>
      </c>
      <c r="N21" s="122">
        <f t="shared" si="15"/>
        <v>388054.82833333331</v>
      </c>
      <c r="O21" s="122">
        <f t="shared" si="11"/>
        <v>48089.823666666693</v>
      </c>
      <c r="P21" s="123">
        <f t="shared" si="12"/>
        <v>112.39253325959349</v>
      </c>
      <c r="Q21" s="123">
        <f t="shared" si="16"/>
        <v>37.464177753197824</v>
      </c>
      <c r="R21" s="119">
        <f t="shared" ref="R21" si="35">R22+R23+R24+R26+R25</f>
        <v>365942.89600000001</v>
      </c>
      <c r="S21" s="122">
        <f t="shared" si="13"/>
        <v>70201.755999999994</v>
      </c>
      <c r="T21" s="123">
        <f t="shared" ref="T21:T26" si="36">F21/R21*100</f>
        <v>119.18380074250709</v>
      </c>
      <c r="U21" s="150">
        <f>R23+R24+R22</f>
        <v>106125.51800000001</v>
      </c>
      <c r="V21" s="150">
        <f>F22+F23+F24</f>
        <v>145688.14000000001</v>
      </c>
    </row>
    <row r="22" spans="1:23" s="110" customFormat="1" ht="34.5" customHeight="1" x14ac:dyDescent="0.25">
      <c r="A22" s="109" t="s">
        <v>146</v>
      </c>
      <c r="B22" s="167" t="s">
        <v>59</v>
      </c>
      <c r="C22" s="179" t="s">
        <v>46</v>
      </c>
      <c r="D22" s="124">
        <v>121980</v>
      </c>
      <c r="E22" s="124">
        <v>121980</v>
      </c>
      <c r="F22" s="124">
        <f t="shared" si="14"/>
        <v>52115.679000000004</v>
      </c>
      <c r="G22" s="124">
        <v>17215.075000000001</v>
      </c>
      <c r="H22" s="124">
        <v>4947.9979999999996</v>
      </c>
      <c r="I22" s="124">
        <v>6293.1809999999996</v>
      </c>
      <c r="J22" s="124">
        <v>23659.424999999999</v>
      </c>
      <c r="K22" s="125">
        <v>45023.154999999999</v>
      </c>
      <c r="L22" s="126">
        <f t="shared" si="10"/>
        <v>7092.5240000000049</v>
      </c>
      <c r="M22" s="127">
        <f t="shared" si="28"/>
        <v>115.75305862061423</v>
      </c>
      <c r="N22" s="148">
        <f t="shared" si="15"/>
        <v>40660</v>
      </c>
      <c r="O22" s="126">
        <f t="shared" si="11"/>
        <v>11455.679000000004</v>
      </c>
      <c r="P22" s="127">
        <f t="shared" si="12"/>
        <v>128.17432120019677</v>
      </c>
      <c r="Q22" s="127">
        <f t="shared" si="16"/>
        <v>42.724773733398919</v>
      </c>
      <c r="R22" s="124">
        <v>34896.737000000001</v>
      </c>
      <c r="S22" s="126">
        <f t="shared" si="13"/>
        <v>17218.942000000003</v>
      </c>
      <c r="T22" s="127">
        <f t="shared" si="36"/>
        <v>149.34255601032268</v>
      </c>
    </row>
    <row r="23" spans="1:23" s="110" customFormat="1" ht="34.5" customHeight="1" x14ac:dyDescent="0.25">
      <c r="A23" s="80" t="s">
        <v>147</v>
      </c>
      <c r="B23" s="167" t="s">
        <v>7</v>
      </c>
      <c r="C23" s="179"/>
      <c r="D23" s="124">
        <v>287000</v>
      </c>
      <c r="E23" s="124">
        <v>287000</v>
      </c>
      <c r="F23" s="124">
        <f t="shared" si="14"/>
        <v>93105.233000000007</v>
      </c>
      <c r="G23" s="124">
        <v>17562.599999999999</v>
      </c>
      <c r="H23" s="124">
        <v>25973.133000000002</v>
      </c>
      <c r="I23" s="124">
        <v>24076.474999999999</v>
      </c>
      <c r="J23" s="124">
        <v>25493.025000000001</v>
      </c>
      <c r="K23" s="125">
        <v>86547</v>
      </c>
      <c r="L23" s="126">
        <f t="shared" si="10"/>
        <v>6558.2330000000075</v>
      </c>
      <c r="M23" s="127">
        <f t="shared" si="28"/>
        <v>107.57765491582609</v>
      </c>
      <c r="N23" s="122">
        <f t="shared" si="15"/>
        <v>95666.666666666672</v>
      </c>
      <c r="O23" s="126">
        <f t="shared" si="11"/>
        <v>-2561.4336666666641</v>
      </c>
      <c r="P23" s="127">
        <f t="shared" si="12"/>
        <v>97.322543205574917</v>
      </c>
      <c r="Q23" s="127">
        <f t="shared" si="16"/>
        <v>32.440847735191639</v>
      </c>
      <c r="R23" s="124">
        <v>70686.474000000002</v>
      </c>
      <c r="S23" s="126">
        <f t="shared" si="13"/>
        <v>22418.759000000005</v>
      </c>
      <c r="T23" s="127">
        <f t="shared" si="36"/>
        <v>131.71576927150167</v>
      </c>
    </row>
    <row r="24" spans="1:23" s="110" customFormat="1" ht="34.5" customHeight="1" x14ac:dyDescent="0.25">
      <c r="A24" s="80" t="s">
        <v>148</v>
      </c>
      <c r="B24" s="167" t="s">
        <v>60</v>
      </c>
      <c r="C24" s="179"/>
      <c r="D24" s="124">
        <v>1410</v>
      </c>
      <c r="E24" s="124">
        <v>1410</v>
      </c>
      <c r="F24" s="124">
        <f t="shared" si="14"/>
        <v>467.22799999999995</v>
      </c>
      <c r="G24" s="124">
        <v>204.43299999999999</v>
      </c>
      <c r="H24" s="124">
        <v>73.540999999999997</v>
      </c>
      <c r="I24" s="124">
        <v>34.834000000000003</v>
      </c>
      <c r="J24" s="124">
        <v>154.41999999999999</v>
      </c>
      <c r="K24" s="125">
        <v>405.5</v>
      </c>
      <c r="L24" s="126">
        <f t="shared" si="10"/>
        <v>61.727999999999952</v>
      </c>
      <c r="M24" s="127">
        <f t="shared" si="28"/>
        <v>115.22268803945745</v>
      </c>
      <c r="N24" s="122">
        <f t="shared" si="15"/>
        <v>470</v>
      </c>
      <c r="O24" s="126">
        <f t="shared" si="11"/>
        <v>-2.7720000000000482</v>
      </c>
      <c r="P24" s="127">
        <f t="shared" si="12"/>
        <v>99.410212765957439</v>
      </c>
      <c r="Q24" s="127">
        <f t="shared" si="16"/>
        <v>33.13673758865248</v>
      </c>
      <c r="R24" s="124">
        <v>542.30700000000002</v>
      </c>
      <c r="S24" s="126">
        <f t="shared" si="13"/>
        <v>-75.079000000000065</v>
      </c>
      <c r="T24" s="127">
        <f t="shared" si="36"/>
        <v>86.155627716404169</v>
      </c>
      <c r="U24" s="127">
        <f>100-T24</f>
        <v>13.844372283595831</v>
      </c>
      <c r="V24" s="111"/>
      <c r="W24" s="112" t="e">
        <f>F22/#REF!*100</f>
        <v>#REF!</v>
      </c>
    </row>
    <row r="25" spans="1:23" s="114" customFormat="1" ht="34.5" customHeight="1" x14ac:dyDescent="0.25">
      <c r="A25" s="80" t="s">
        <v>149</v>
      </c>
      <c r="B25" s="167" t="s">
        <v>42</v>
      </c>
      <c r="C25" s="113" t="s">
        <v>41</v>
      </c>
      <c r="D25" s="124">
        <v>2250</v>
      </c>
      <c r="E25" s="124">
        <v>2250</v>
      </c>
      <c r="F25" s="124">
        <f t="shared" si="14"/>
        <v>730.27299999999991</v>
      </c>
      <c r="G25" s="124">
        <v>138.30099999999999</v>
      </c>
      <c r="H25" s="124">
        <v>277.065</v>
      </c>
      <c r="I25" s="124">
        <v>62.359000000000002</v>
      </c>
      <c r="J25" s="124">
        <v>252.548</v>
      </c>
      <c r="K25" s="125">
        <v>688.75</v>
      </c>
      <c r="L25" s="126">
        <f t="shared" si="10"/>
        <v>41.522999999999911</v>
      </c>
      <c r="M25" s="127">
        <f t="shared" si="28"/>
        <v>106.02874773139746</v>
      </c>
      <c r="N25" s="122">
        <f t="shared" si="15"/>
        <v>750</v>
      </c>
      <c r="O25" s="126">
        <f t="shared" si="11"/>
        <v>-19.727000000000089</v>
      </c>
      <c r="P25" s="127">
        <f t="shared" si="12"/>
        <v>97.369733333333315</v>
      </c>
      <c r="Q25" s="127">
        <f t="shared" si="16"/>
        <v>32.456577777777774</v>
      </c>
      <c r="R25" s="124">
        <v>622.28700000000003</v>
      </c>
      <c r="S25" s="124">
        <f t="shared" si="13"/>
        <v>107.98599999999988</v>
      </c>
      <c r="T25" s="127">
        <f t="shared" si="36"/>
        <v>117.35308627691079</v>
      </c>
    </row>
    <row r="26" spans="1:23" s="110" customFormat="1" ht="34.5" customHeight="1" x14ac:dyDescent="0.25">
      <c r="A26" s="80" t="s">
        <v>150</v>
      </c>
      <c r="B26" s="167" t="s">
        <v>35</v>
      </c>
      <c r="C26" s="144" t="s">
        <v>36</v>
      </c>
      <c r="D26" s="124">
        <v>751524.48499999999</v>
      </c>
      <c r="E26" s="124">
        <v>751524.48499999999</v>
      </c>
      <c r="F26" s="124">
        <f t="shared" si="14"/>
        <v>289726.239</v>
      </c>
      <c r="G26" s="124">
        <v>100717.545</v>
      </c>
      <c r="H26" s="124">
        <v>66393.952000000005</v>
      </c>
      <c r="I26" s="124">
        <v>40961.137999999999</v>
      </c>
      <c r="J26" s="124">
        <v>81653.604000000007</v>
      </c>
      <c r="K26" s="125">
        <v>271224.93400000001</v>
      </c>
      <c r="L26" s="126">
        <f t="shared" si="10"/>
        <v>18501.304999999993</v>
      </c>
      <c r="M26" s="127">
        <f t="shared" si="28"/>
        <v>106.82138796280434</v>
      </c>
      <c r="N26" s="122">
        <f t="shared" si="15"/>
        <v>250508.16166666665</v>
      </c>
      <c r="O26" s="126">
        <f t="shared" si="11"/>
        <v>39218.077333333349</v>
      </c>
      <c r="P26" s="127">
        <f t="shared" si="12"/>
        <v>115.65540901837683</v>
      </c>
      <c r="Q26" s="127">
        <f t="shared" si="16"/>
        <v>38.55180300612561</v>
      </c>
      <c r="R26" s="124">
        <v>259195.09099999999</v>
      </c>
      <c r="S26" s="126">
        <f t="shared" si="13"/>
        <v>30531.148000000016</v>
      </c>
      <c r="T26" s="127">
        <f t="shared" si="36"/>
        <v>111.77921537101952</v>
      </c>
      <c r="V26" s="111"/>
      <c r="W26" s="112" t="e">
        <f>F26/#REF!*100</f>
        <v>#REF!</v>
      </c>
    </row>
    <row r="27" spans="1:23" s="79" customFormat="1" ht="58.5" x14ac:dyDescent="0.25">
      <c r="A27" s="75">
        <v>7</v>
      </c>
      <c r="B27" s="84" t="s">
        <v>48</v>
      </c>
      <c r="C27" s="76" t="s">
        <v>18</v>
      </c>
      <c r="D27" s="119">
        <v>940</v>
      </c>
      <c r="E27" s="119">
        <v>940</v>
      </c>
      <c r="F27" s="119">
        <f t="shared" si="14"/>
        <v>428.36099999999999</v>
      </c>
      <c r="G27" s="119">
        <v>1.22</v>
      </c>
      <c r="H27" s="119">
        <v>9.2029999999999994</v>
      </c>
      <c r="I27" s="119">
        <v>370.61599999999999</v>
      </c>
      <c r="J27" s="119">
        <v>47.322000000000003</v>
      </c>
      <c r="K27" s="121">
        <v>379.4</v>
      </c>
      <c r="L27" s="122">
        <f t="shared" si="10"/>
        <v>48.961000000000013</v>
      </c>
      <c r="M27" s="123">
        <f t="shared" si="28"/>
        <v>112.90484976278334</v>
      </c>
      <c r="N27" s="122">
        <f t="shared" si="15"/>
        <v>313.33333333333331</v>
      </c>
      <c r="O27" s="122">
        <f t="shared" si="11"/>
        <v>115.02766666666668</v>
      </c>
      <c r="P27" s="123">
        <f t="shared" si="12"/>
        <v>136.71095744680852</v>
      </c>
      <c r="Q27" s="123">
        <f t="shared" si="16"/>
        <v>45.570319148936164</v>
      </c>
      <c r="R27" s="119">
        <v>85.632999999999996</v>
      </c>
      <c r="S27" s="122">
        <f t="shared" si="13"/>
        <v>342.72800000000001</v>
      </c>
      <c r="T27" s="123">
        <f>F27/R27*100</f>
        <v>500.22888372473233</v>
      </c>
      <c r="U27" s="78">
        <f>100-T27</f>
        <v>-400.22888372473233</v>
      </c>
    </row>
    <row r="28" spans="1:23" s="79" customFormat="1" ht="39" x14ac:dyDescent="0.25">
      <c r="A28" s="75">
        <f t="shared" ref="A28:A36" si="37">A27+1</f>
        <v>8</v>
      </c>
      <c r="B28" s="84" t="s">
        <v>70</v>
      </c>
      <c r="C28" s="76" t="s">
        <v>69</v>
      </c>
      <c r="D28" s="119">
        <v>29000</v>
      </c>
      <c r="E28" s="119">
        <v>29000</v>
      </c>
      <c r="F28" s="119">
        <f t="shared" si="14"/>
        <v>30343.200000000001</v>
      </c>
      <c r="G28" s="119">
        <v>0</v>
      </c>
      <c r="H28" s="119">
        <v>0</v>
      </c>
      <c r="I28" s="119">
        <v>30343.200000000001</v>
      </c>
      <c r="J28" s="119">
        <v>0</v>
      </c>
      <c r="K28" s="121">
        <v>29000</v>
      </c>
      <c r="L28" s="122">
        <f t="shared" si="10"/>
        <v>1343.2000000000007</v>
      </c>
      <c r="M28" s="123">
        <f t="shared" si="28"/>
        <v>104.63172413793104</v>
      </c>
      <c r="N28" s="122">
        <f t="shared" si="15"/>
        <v>9666.6666666666661</v>
      </c>
      <c r="O28" s="122">
        <f t="shared" si="11"/>
        <v>20676.533333333333</v>
      </c>
      <c r="P28" s="123">
        <f t="shared" si="12"/>
        <v>313.89517241379315</v>
      </c>
      <c r="Q28" s="123">
        <f t="shared" si="16"/>
        <v>104.63172413793104</v>
      </c>
      <c r="R28" s="119">
        <v>4200.6499999999996</v>
      </c>
      <c r="S28" s="122">
        <f t="shared" si="13"/>
        <v>26142.550000000003</v>
      </c>
      <c r="T28" s="123">
        <f>F28/R28*100</f>
        <v>722.3453513146776</v>
      </c>
    </row>
    <row r="29" spans="1:23" s="79" customFormat="1" ht="30.75" customHeight="1" x14ac:dyDescent="0.25">
      <c r="A29" s="75">
        <f t="shared" si="37"/>
        <v>9</v>
      </c>
      <c r="B29" s="84" t="s">
        <v>8</v>
      </c>
      <c r="C29" s="76" t="s">
        <v>19</v>
      </c>
      <c r="D29" s="119">
        <v>100</v>
      </c>
      <c r="E29" s="119">
        <v>100</v>
      </c>
      <c r="F29" s="119">
        <f t="shared" si="14"/>
        <v>845.92</v>
      </c>
      <c r="G29" s="119">
        <v>87.317999999999998</v>
      </c>
      <c r="H29" s="119">
        <v>69.724000000000004</v>
      </c>
      <c r="I29" s="119">
        <v>430.935</v>
      </c>
      <c r="J29" s="119">
        <v>257.94299999999998</v>
      </c>
      <c r="K29" s="121">
        <v>100</v>
      </c>
      <c r="L29" s="122">
        <f t="shared" si="10"/>
        <v>745.92</v>
      </c>
      <c r="M29" s="123">
        <f t="shared" ref="M29:M44" si="38">F29/K29*100</f>
        <v>845.92</v>
      </c>
      <c r="N29" s="122">
        <f t="shared" si="15"/>
        <v>33.333333333333336</v>
      </c>
      <c r="O29" s="122">
        <f t="shared" si="11"/>
        <v>812.58666666666659</v>
      </c>
      <c r="P29" s="123">
        <f t="shared" si="12"/>
        <v>2537.7599999999998</v>
      </c>
      <c r="Q29" s="123">
        <f t="shared" si="16"/>
        <v>845.92</v>
      </c>
      <c r="R29" s="119">
        <v>0</v>
      </c>
      <c r="S29" s="122">
        <f t="shared" si="13"/>
        <v>845.92</v>
      </c>
      <c r="T29" s="123"/>
    </row>
    <row r="30" spans="1:23" s="79" customFormat="1" ht="78" x14ac:dyDescent="0.25">
      <c r="A30" s="75">
        <f t="shared" si="37"/>
        <v>10</v>
      </c>
      <c r="B30" s="137" t="s">
        <v>90</v>
      </c>
      <c r="C30" s="103" t="s">
        <v>91</v>
      </c>
      <c r="D30" s="119">
        <v>12</v>
      </c>
      <c r="E30" s="119">
        <v>12</v>
      </c>
      <c r="F30" s="119">
        <f t="shared" si="14"/>
        <v>-11.775</v>
      </c>
      <c r="G30" s="119">
        <v>7.4999999999999997E-2</v>
      </c>
      <c r="H30" s="119">
        <v>0</v>
      </c>
      <c r="I30" s="119">
        <v>-11.85</v>
      </c>
      <c r="J30" s="119">
        <v>0</v>
      </c>
      <c r="K30" s="121">
        <v>0</v>
      </c>
      <c r="L30" s="122">
        <f t="shared" si="10"/>
        <v>-11.775</v>
      </c>
      <c r="M30" s="123"/>
      <c r="N30" s="122">
        <f t="shared" si="15"/>
        <v>4</v>
      </c>
      <c r="O30" s="122">
        <f t="shared" si="11"/>
        <v>-15.775</v>
      </c>
      <c r="P30" s="123">
        <f t="shared" si="12"/>
        <v>-294.375</v>
      </c>
      <c r="Q30" s="123">
        <f t="shared" si="16"/>
        <v>-98.125</v>
      </c>
      <c r="R30" s="119">
        <v>5.1849999999999996</v>
      </c>
      <c r="S30" s="122">
        <f t="shared" si="13"/>
        <v>-16.96</v>
      </c>
      <c r="T30" s="123">
        <f t="shared" ref="T30:T42" si="39">F30/R30*100</f>
        <v>-227.09739633558343</v>
      </c>
    </row>
    <row r="31" spans="1:23" s="79" customFormat="1" ht="23.25" x14ac:dyDescent="0.25">
      <c r="A31" s="75">
        <f t="shared" si="37"/>
        <v>11</v>
      </c>
      <c r="B31" s="133" t="s">
        <v>32</v>
      </c>
      <c r="C31" s="76" t="s">
        <v>25</v>
      </c>
      <c r="D31" s="119">
        <v>10000</v>
      </c>
      <c r="E31" s="119">
        <v>10000</v>
      </c>
      <c r="F31" s="119">
        <f t="shared" si="14"/>
        <v>3979.7570000000005</v>
      </c>
      <c r="G31" s="119">
        <v>808.93100000000004</v>
      </c>
      <c r="H31" s="119">
        <v>945.82799999999997</v>
      </c>
      <c r="I31" s="119">
        <v>1144.22</v>
      </c>
      <c r="J31" s="119">
        <v>1080.778</v>
      </c>
      <c r="K31" s="121">
        <v>3775</v>
      </c>
      <c r="L31" s="122">
        <f t="shared" si="10"/>
        <v>204.75700000000052</v>
      </c>
      <c r="M31" s="123">
        <f t="shared" si="38"/>
        <v>105.42402649006624</v>
      </c>
      <c r="N31" s="122">
        <f t="shared" si="15"/>
        <v>3333.3333333333335</v>
      </c>
      <c r="O31" s="122">
        <f t="shared" si="11"/>
        <v>646.42366666666703</v>
      </c>
      <c r="P31" s="123">
        <f t="shared" si="12"/>
        <v>119.39271000000001</v>
      </c>
      <c r="Q31" s="123">
        <f t="shared" si="16"/>
        <v>39.797570000000007</v>
      </c>
      <c r="R31" s="119">
        <v>2629.6210000000001</v>
      </c>
      <c r="S31" s="122">
        <f t="shared" si="13"/>
        <v>1350.1360000000004</v>
      </c>
      <c r="T31" s="123">
        <f t="shared" si="39"/>
        <v>151.34336849302619</v>
      </c>
      <c r="U31" s="78">
        <f>100-T31</f>
        <v>-51.34336849302619</v>
      </c>
    </row>
    <row r="32" spans="1:23" s="79" customFormat="1" ht="58.5" x14ac:dyDescent="0.25">
      <c r="A32" s="75">
        <f t="shared" si="37"/>
        <v>12</v>
      </c>
      <c r="B32" s="133" t="s">
        <v>80</v>
      </c>
      <c r="C32" s="76" t="s">
        <v>79</v>
      </c>
      <c r="D32" s="119">
        <v>450</v>
      </c>
      <c r="E32" s="119">
        <v>450</v>
      </c>
      <c r="F32" s="119">
        <f t="shared" si="14"/>
        <v>198.04500000000002</v>
      </c>
      <c r="G32" s="119">
        <v>26</v>
      </c>
      <c r="H32" s="119">
        <v>107</v>
      </c>
      <c r="I32" s="119">
        <v>33.244999999999997</v>
      </c>
      <c r="J32" s="119">
        <v>31.8</v>
      </c>
      <c r="K32" s="121">
        <v>198</v>
      </c>
      <c r="L32" s="122">
        <f t="shared" si="10"/>
        <v>4.5000000000015916E-2</v>
      </c>
      <c r="M32" s="123">
        <f t="shared" si="38"/>
        <v>100.02272727272728</v>
      </c>
      <c r="N32" s="122">
        <f t="shared" si="15"/>
        <v>150</v>
      </c>
      <c r="O32" s="122">
        <f t="shared" si="11"/>
        <v>48.045000000000016</v>
      </c>
      <c r="P32" s="123">
        <f t="shared" si="12"/>
        <v>132.03</v>
      </c>
      <c r="Q32" s="123">
        <f t="shared" si="16"/>
        <v>44.010000000000005</v>
      </c>
      <c r="R32" s="119">
        <v>86.575000000000003</v>
      </c>
      <c r="S32" s="122">
        <f t="shared" si="13"/>
        <v>111.47000000000001</v>
      </c>
      <c r="T32" s="123">
        <f t="shared" si="39"/>
        <v>228.75541438059486</v>
      </c>
    </row>
    <row r="33" spans="1:24" s="79" customFormat="1" ht="23.25" x14ac:dyDescent="0.25">
      <c r="A33" s="75">
        <f t="shared" si="37"/>
        <v>13</v>
      </c>
      <c r="B33" s="133" t="s">
        <v>108</v>
      </c>
      <c r="C33" s="76" t="s">
        <v>109</v>
      </c>
      <c r="D33" s="119">
        <v>17700</v>
      </c>
      <c r="E33" s="119">
        <v>17700</v>
      </c>
      <c r="F33" s="119">
        <f t="shared" si="14"/>
        <v>6804.143</v>
      </c>
      <c r="G33" s="119">
        <v>1414.5129999999999</v>
      </c>
      <c r="H33" s="119">
        <v>1797.0060000000001</v>
      </c>
      <c r="I33" s="119">
        <v>1830.355</v>
      </c>
      <c r="J33" s="119">
        <v>1762.269</v>
      </c>
      <c r="K33" s="121">
        <v>6380</v>
      </c>
      <c r="L33" s="122">
        <f t="shared" si="10"/>
        <v>424.14300000000003</v>
      </c>
      <c r="M33" s="123">
        <f t="shared" si="38"/>
        <v>106.64800940438872</v>
      </c>
      <c r="N33" s="122">
        <f t="shared" si="15"/>
        <v>5900</v>
      </c>
      <c r="O33" s="122">
        <f t="shared" si="11"/>
        <v>904.14300000000003</v>
      </c>
      <c r="P33" s="123">
        <f t="shared" si="12"/>
        <v>115.32445762711865</v>
      </c>
      <c r="Q33" s="123">
        <f t="shared" si="16"/>
        <v>38.441485875706213</v>
      </c>
      <c r="R33" s="119">
        <v>5624.5360000000001</v>
      </c>
      <c r="S33" s="122">
        <f t="shared" si="13"/>
        <v>1179.607</v>
      </c>
      <c r="T33" s="123">
        <f t="shared" si="39"/>
        <v>120.97252111107477</v>
      </c>
    </row>
    <row r="34" spans="1:24" s="79" customFormat="1" ht="58.5" x14ac:dyDescent="0.25">
      <c r="A34" s="75">
        <f>A33+1</f>
        <v>14</v>
      </c>
      <c r="B34" s="133" t="s">
        <v>160</v>
      </c>
      <c r="C34" s="76" t="s">
        <v>159</v>
      </c>
      <c r="D34" s="119">
        <v>0</v>
      </c>
      <c r="E34" s="119">
        <v>0</v>
      </c>
      <c r="F34" s="119">
        <f t="shared" si="14"/>
        <v>1423.4589999999998</v>
      </c>
      <c r="G34" s="119">
        <v>0</v>
      </c>
      <c r="H34" s="119">
        <v>501.57400000000001</v>
      </c>
      <c r="I34" s="119">
        <v>891.15099999999995</v>
      </c>
      <c r="J34" s="119">
        <v>30.734000000000002</v>
      </c>
      <c r="K34" s="121">
        <v>0</v>
      </c>
      <c r="L34" s="122">
        <f t="shared" si="10"/>
        <v>1423.4589999999998</v>
      </c>
      <c r="M34" s="123"/>
      <c r="N34" s="122">
        <f t="shared" si="15"/>
        <v>0</v>
      </c>
      <c r="O34" s="122">
        <f t="shared" si="11"/>
        <v>1423.4589999999998</v>
      </c>
      <c r="P34" s="123"/>
      <c r="Q34" s="123"/>
      <c r="R34" s="119">
        <v>0</v>
      </c>
      <c r="S34" s="122">
        <f t="shared" si="13"/>
        <v>1423.4589999999998</v>
      </c>
      <c r="T34" s="123"/>
    </row>
    <row r="35" spans="1:24" s="79" customFormat="1" ht="78" x14ac:dyDescent="0.25">
      <c r="A35" s="75">
        <f t="shared" si="37"/>
        <v>15</v>
      </c>
      <c r="B35" s="133" t="s">
        <v>133</v>
      </c>
      <c r="C35" s="76" t="s">
        <v>134</v>
      </c>
      <c r="D35" s="119">
        <v>58</v>
      </c>
      <c r="E35" s="119">
        <v>58</v>
      </c>
      <c r="F35" s="119">
        <f t="shared" si="14"/>
        <v>12.04</v>
      </c>
      <c r="G35" s="119">
        <v>1.99</v>
      </c>
      <c r="H35" s="119">
        <v>5.36</v>
      </c>
      <c r="I35" s="119">
        <v>2.0099999999999998</v>
      </c>
      <c r="J35" s="119">
        <v>2.68</v>
      </c>
      <c r="K35" s="121">
        <v>9.3000000000000007</v>
      </c>
      <c r="L35" s="122">
        <f t="shared" si="10"/>
        <v>2.7399999999999984</v>
      </c>
      <c r="M35" s="123">
        <f t="shared" si="38"/>
        <v>129.46236559139783</v>
      </c>
      <c r="N35" s="122">
        <f t="shared" si="15"/>
        <v>19.333333333333332</v>
      </c>
      <c r="O35" s="122">
        <f t="shared" ref="O35" si="40">F35-N35</f>
        <v>-7.293333333333333</v>
      </c>
      <c r="P35" s="123">
        <f>F35/N35*100</f>
        <v>62.275862068965516</v>
      </c>
      <c r="Q35" s="123">
        <f t="shared" si="16"/>
        <v>20.758620689655171</v>
      </c>
      <c r="R35" s="119">
        <v>18.361999999999998</v>
      </c>
      <c r="S35" s="122">
        <f t="shared" ref="S35" si="41">F35-R35</f>
        <v>-6.3219999999999992</v>
      </c>
      <c r="T35" s="123">
        <f t="shared" ref="T35" si="42">F35/R35*100</f>
        <v>65.570199324692297</v>
      </c>
    </row>
    <row r="36" spans="1:24" s="79" customFormat="1" ht="23.25" x14ac:dyDescent="0.25">
      <c r="A36" s="75">
        <f t="shared" si="37"/>
        <v>16</v>
      </c>
      <c r="B36" s="133" t="s">
        <v>82</v>
      </c>
      <c r="C36" s="76" t="s">
        <v>81</v>
      </c>
      <c r="D36" s="119">
        <f>SUM(D37:D40)</f>
        <v>43825</v>
      </c>
      <c r="E36" s="119">
        <f>SUM(E37:E40)</f>
        <v>43825</v>
      </c>
      <c r="F36" s="119">
        <f t="shared" si="14"/>
        <v>11951.386</v>
      </c>
      <c r="G36" s="119">
        <f t="shared" ref="G36:K36" si="43">SUM(G37:G40)</f>
        <v>2787.4590000000003</v>
      </c>
      <c r="H36" s="119">
        <f t="shared" ref="H36:I36" si="44">SUM(H37:H40)</f>
        <v>3000.232</v>
      </c>
      <c r="I36" s="119">
        <f t="shared" si="44"/>
        <v>3380.7479999999996</v>
      </c>
      <c r="J36" s="119">
        <f t="shared" si="43"/>
        <v>2782.9470000000006</v>
      </c>
      <c r="K36" s="121">
        <f t="shared" si="43"/>
        <v>11669.5</v>
      </c>
      <c r="L36" s="122">
        <f t="shared" si="10"/>
        <v>281.88600000000042</v>
      </c>
      <c r="M36" s="123">
        <f t="shared" si="38"/>
        <v>102.41557907365355</v>
      </c>
      <c r="N36" s="122">
        <f t="shared" si="15"/>
        <v>14608.333333333334</v>
      </c>
      <c r="O36" s="122">
        <f t="shared" si="11"/>
        <v>-2656.9473333333335</v>
      </c>
      <c r="P36" s="123">
        <f t="shared" si="12"/>
        <v>81.812111808328581</v>
      </c>
      <c r="Q36" s="123">
        <f t="shared" si="16"/>
        <v>27.270703936109523</v>
      </c>
      <c r="R36" s="119">
        <f t="shared" ref="R36" si="45">SUM(R37:R40)</f>
        <v>11137.337000000001</v>
      </c>
      <c r="S36" s="122">
        <f t="shared" si="13"/>
        <v>814.04899999999907</v>
      </c>
      <c r="T36" s="123">
        <f t="shared" si="39"/>
        <v>107.30918890215857</v>
      </c>
    </row>
    <row r="37" spans="1:24" s="83" customFormat="1" ht="58.5" x14ac:dyDescent="0.25">
      <c r="A37" s="80" t="s">
        <v>161</v>
      </c>
      <c r="B37" s="134" t="s">
        <v>74</v>
      </c>
      <c r="C37" s="144" t="s">
        <v>73</v>
      </c>
      <c r="D37" s="124">
        <v>1100</v>
      </c>
      <c r="E37" s="124">
        <v>1100</v>
      </c>
      <c r="F37" s="124">
        <f t="shared" si="14"/>
        <v>417.07000000000005</v>
      </c>
      <c r="G37" s="124">
        <v>84.753</v>
      </c>
      <c r="H37" s="124">
        <v>114.929</v>
      </c>
      <c r="I37" s="124">
        <v>107.158</v>
      </c>
      <c r="J37" s="124">
        <v>110.23</v>
      </c>
      <c r="K37" s="125">
        <v>401</v>
      </c>
      <c r="L37" s="126">
        <f t="shared" si="10"/>
        <v>16.07000000000005</v>
      </c>
      <c r="M37" s="127">
        <f t="shared" si="38"/>
        <v>104.00748129675812</v>
      </c>
      <c r="N37" s="122">
        <f t="shared" si="15"/>
        <v>366.66666666666669</v>
      </c>
      <c r="O37" s="126">
        <f t="shared" si="11"/>
        <v>50.403333333333364</v>
      </c>
      <c r="P37" s="127">
        <f t="shared" si="12"/>
        <v>113.74636363636364</v>
      </c>
      <c r="Q37" s="127">
        <f t="shared" si="16"/>
        <v>37.915454545454551</v>
      </c>
      <c r="R37" s="124">
        <v>296.71699999999998</v>
      </c>
      <c r="S37" s="126">
        <f t="shared" si="13"/>
        <v>120.35300000000007</v>
      </c>
      <c r="T37" s="127">
        <f t="shared" si="39"/>
        <v>140.56154517604318</v>
      </c>
      <c r="U37" s="127">
        <f>T37-100</f>
        <v>40.561545176043182</v>
      </c>
      <c r="V37" s="81"/>
    </row>
    <row r="38" spans="1:24" s="83" customFormat="1" ht="38.25" customHeight="1" x14ac:dyDescent="0.25">
      <c r="A38" s="80" t="s">
        <v>162</v>
      </c>
      <c r="B38" s="135" t="s">
        <v>61</v>
      </c>
      <c r="C38" s="68" t="s">
        <v>62</v>
      </c>
      <c r="D38" s="124">
        <v>42000</v>
      </c>
      <c r="E38" s="124">
        <v>42000</v>
      </c>
      <c r="F38" s="124">
        <f t="shared" si="14"/>
        <v>11259.571999999998</v>
      </c>
      <c r="G38" s="124">
        <v>2625.3359999999998</v>
      </c>
      <c r="H38" s="124">
        <v>2807.0549999999998</v>
      </c>
      <c r="I38" s="124">
        <v>3209.8519999999999</v>
      </c>
      <c r="J38" s="124">
        <v>2617.3290000000002</v>
      </c>
      <c r="K38" s="125">
        <v>11000</v>
      </c>
      <c r="L38" s="126">
        <f t="shared" si="10"/>
        <v>259.5719999999983</v>
      </c>
      <c r="M38" s="127">
        <f t="shared" si="38"/>
        <v>102.35974545454545</v>
      </c>
      <c r="N38" s="122">
        <f t="shared" si="15"/>
        <v>14000</v>
      </c>
      <c r="O38" s="126">
        <f t="shared" si="11"/>
        <v>-2740.4280000000017</v>
      </c>
      <c r="P38" s="127">
        <f t="shared" si="12"/>
        <v>80.425514285714272</v>
      </c>
      <c r="Q38" s="127">
        <f t="shared" si="16"/>
        <v>26.808504761904757</v>
      </c>
      <c r="R38" s="124">
        <v>10619.442000000001</v>
      </c>
      <c r="S38" s="126">
        <f t="shared" si="13"/>
        <v>640.12999999999738</v>
      </c>
      <c r="T38" s="127">
        <f t="shared" si="39"/>
        <v>106.02790617435451</v>
      </c>
      <c r="U38" s="127">
        <f>T38-100</f>
        <v>6.0279061743545128</v>
      </c>
      <c r="V38" s="82"/>
    </row>
    <row r="39" spans="1:24" s="83" customFormat="1" ht="39" x14ac:dyDescent="0.25">
      <c r="A39" s="80" t="s">
        <v>163</v>
      </c>
      <c r="B39" s="135" t="s">
        <v>78</v>
      </c>
      <c r="C39" s="68" t="s">
        <v>75</v>
      </c>
      <c r="D39" s="124">
        <v>680</v>
      </c>
      <c r="E39" s="124">
        <v>680</v>
      </c>
      <c r="F39" s="124">
        <f t="shared" si="14"/>
        <v>236.614</v>
      </c>
      <c r="G39" s="124">
        <v>73.34</v>
      </c>
      <c r="H39" s="124">
        <v>51.128</v>
      </c>
      <c r="I39" s="124">
        <v>60.787999999999997</v>
      </c>
      <c r="J39" s="124">
        <v>51.357999999999997</v>
      </c>
      <c r="K39" s="125">
        <v>230.4</v>
      </c>
      <c r="L39" s="126">
        <f t="shared" si="10"/>
        <v>6.2139999999999986</v>
      </c>
      <c r="M39" s="127">
        <f t="shared" si="38"/>
        <v>102.69704861111111</v>
      </c>
      <c r="N39" s="122">
        <f t="shared" si="15"/>
        <v>226.66666666666666</v>
      </c>
      <c r="O39" s="126">
        <f t="shared" si="11"/>
        <v>9.9473333333333471</v>
      </c>
      <c r="P39" s="127">
        <f t="shared" si="12"/>
        <v>104.38852941176471</v>
      </c>
      <c r="Q39" s="127">
        <f t="shared" si="16"/>
        <v>34.796176470588236</v>
      </c>
      <c r="R39" s="124">
        <v>204.708</v>
      </c>
      <c r="S39" s="126">
        <f t="shared" si="13"/>
        <v>31.906000000000006</v>
      </c>
      <c r="T39" s="127">
        <f t="shared" si="39"/>
        <v>115.58610313226644</v>
      </c>
    </row>
    <row r="40" spans="1:24" s="83" customFormat="1" ht="117" x14ac:dyDescent="0.25">
      <c r="A40" s="80" t="s">
        <v>164</v>
      </c>
      <c r="B40" s="136" t="s">
        <v>77</v>
      </c>
      <c r="C40" s="68" t="s">
        <v>76</v>
      </c>
      <c r="D40" s="124">
        <v>45</v>
      </c>
      <c r="E40" s="124">
        <v>45</v>
      </c>
      <c r="F40" s="124">
        <f t="shared" si="14"/>
        <v>38.130000000000003</v>
      </c>
      <c r="G40" s="124">
        <v>4.03</v>
      </c>
      <c r="H40" s="124">
        <v>27.12</v>
      </c>
      <c r="I40" s="124">
        <v>2.95</v>
      </c>
      <c r="J40" s="124">
        <v>4.03</v>
      </c>
      <c r="K40" s="125">
        <v>38.1</v>
      </c>
      <c r="L40" s="126">
        <f t="shared" si="10"/>
        <v>3.0000000000001137E-2</v>
      </c>
      <c r="M40" s="127">
        <f t="shared" si="38"/>
        <v>100.07874015748033</v>
      </c>
      <c r="N40" s="122">
        <f t="shared" si="15"/>
        <v>15</v>
      </c>
      <c r="O40" s="126">
        <f t="shared" si="11"/>
        <v>23.130000000000003</v>
      </c>
      <c r="P40" s="127">
        <f t="shared" si="12"/>
        <v>254.20000000000002</v>
      </c>
      <c r="Q40" s="127">
        <f t="shared" si="16"/>
        <v>84.733333333333334</v>
      </c>
      <c r="R40" s="124">
        <v>16.47</v>
      </c>
      <c r="S40" s="126">
        <f t="shared" si="13"/>
        <v>21.660000000000004</v>
      </c>
      <c r="T40" s="127">
        <f t="shared" si="39"/>
        <v>231.51183970856107</v>
      </c>
    </row>
    <row r="41" spans="1:24" s="79" customFormat="1" ht="58.5" x14ac:dyDescent="0.25">
      <c r="A41" s="75">
        <v>16</v>
      </c>
      <c r="B41" s="174" t="s">
        <v>37</v>
      </c>
      <c r="C41" s="76" t="s">
        <v>20</v>
      </c>
      <c r="D41" s="119">
        <v>12000</v>
      </c>
      <c r="E41" s="119">
        <v>12000</v>
      </c>
      <c r="F41" s="119">
        <f t="shared" si="14"/>
        <v>7008.1460000000006</v>
      </c>
      <c r="G41" s="119">
        <v>3396.0749999999998</v>
      </c>
      <c r="H41" s="119">
        <v>827.53700000000003</v>
      </c>
      <c r="I41" s="119">
        <v>1208.2950000000001</v>
      </c>
      <c r="J41" s="119">
        <v>1576.239</v>
      </c>
      <c r="K41" s="121">
        <v>6415</v>
      </c>
      <c r="L41" s="122">
        <f t="shared" si="10"/>
        <v>593.14600000000064</v>
      </c>
      <c r="M41" s="123">
        <f t="shared" si="38"/>
        <v>109.2462353858145</v>
      </c>
      <c r="N41" s="122">
        <f t="shared" si="15"/>
        <v>4000</v>
      </c>
      <c r="O41" s="122">
        <f t="shared" si="11"/>
        <v>3008.1460000000006</v>
      </c>
      <c r="P41" s="123">
        <f t="shared" si="12"/>
        <v>175.20365000000001</v>
      </c>
      <c r="Q41" s="123">
        <f t="shared" si="16"/>
        <v>58.40121666666667</v>
      </c>
      <c r="R41" s="119">
        <v>3708.6959999999999</v>
      </c>
      <c r="S41" s="122">
        <f t="shared" si="13"/>
        <v>3299.4500000000007</v>
      </c>
      <c r="T41" s="123">
        <f t="shared" si="39"/>
        <v>188.96523198450348</v>
      </c>
    </row>
    <row r="42" spans="1:24" s="79" customFormat="1" ht="23.25" x14ac:dyDescent="0.25">
      <c r="A42" s="75">
        <f t="shared" ref="A42:A48" si="46">A41+1</f>
        <v>17</v>
      </c>
      <c r="B42" s="84" t="s">
        <v>56</v>
      </c>
      <c r="C42" s="76" t="s">
        <v>16</v>
      </c>
      <c r="D42" s="119">
        <v>405.2</v>
      </c>
      <c r="E42" s="119">
        <v>405.2</v>
      </c>
      <c r="F42" s="119">
        <f t="shared" si="14"/>
        <v>297.06799999999998</v>
      </c>
      <c r="G42" s="119">
        <v>22.706</v>
      </c>
      <c r="H42" s="119">
        <v>55.401000000000003</v>
      </c>
      <c r="I42" s="119">
        <v>176.16900000000001</v>
      </c>
      <c r="J42" s="119">
        <v>42.792000000000002</v>
      </c>
      <c r="K42" s="121">
        <v>285.89999999999998</v>
      </c>
      <c r="L42" s="122">
        <f t="shared" si="10"/>
        <v>11.168000000000006</v>
      </c>
      <c r="M42" s="123">
        <f t="shared" si="38"/>
        <v>103.90626093039526</v>
      </c>
      <c r="N42" s="122">
        <f t="shared" si="15"/>
        <v>135.06666666666666</v>
      </c>
      <c r="O42" s="122">
        <f t="shared" si="11"/>
        <v>162.00133333333332</v>
      </c>
      <c r="P42" s="123">
        <f t="shared" si="12"/>
        <v>219.94175715695951</v>
      </c>
      <c r="Q42" s="123">
        <f t="shared" si="16"/>
        <v>73.313919052319847</v>
      </c>
      <c r="R42" s="119">
        <v>106.68299999999999</v>
      </c>
      <c r="S42" s="122">
        <f t="shared" si="13"/>
        <v>190.38499999999999</v>
      </c>
      <c r="T42" s="123">
        <f t="shared" si="39"/>
        <v>278.45861102518677</v>
      </c>
      <c r="U42" s="78">
        <f>100-T42</f>
        <v>-178.45861102518677</v>
      </c>
    </row>
    <row r="43" spans="1:24" s="79" customFormat="1" ht="97.5" x14ac:dyDescent="0.25">
      <c r="A43" s="75">
        <f t="shared" si="46"/>
        <v>18</v>
      </c>
      <c r="B43" s="84" t="s">
        <v>96</v>
      </c>
      <c r="C43" s="76" t="s">
        <v>95</v>
      </c>
      <c r="D43" s="119">
        <v>24</v>
      </c>
      <c r="E43" s="119">
        <v>24</v>
      </c>
      <c r="F43" s="119">
        <f t="shared" si="14"/>
        <v>7.2810000000000006</v>
      </c>
      <c r="G43" s="119">
        <v>2.472</v>
      </c>
      <c r="H43" s="119">
        <v>0</v>
      </c>
      <c r="I43" s="119">
        <v>0</v>
      </c>
      <c r="J43" s="119">
        <v>4.8090000000000002</v>
      </c>
      <c r="K43" s="121">
        <v>6.5579999999999998</v>
      </c>
      <c r="L43" s="122">
        <f t="shared" si="10"/>
        <v>0.72300000000000075</v>
      </c>
      <c r="M43" s="123">
        <f t="shared" si="38"/>
        <v>111.02470265324796</v>
      </c>
      <c r="N43" s="122">
        <f t="shared" si="15"/>
        <v>8</v>
      </c>
      <c r="O43" s="122">
        <f t="shared" si="11"/>
        <v>-0.71899999999999942</v>
      </c>
      <c r="P43" s="123">
        <f t="shared" si="12"/>
        <v>91.012500000000003</v>
      </c>
      <c r="Q43" s="123">
        <f t="shared" si="16"/>
        <v>30.337500000000002</v>
      </c>
      <c r="R43" s="119">
        <v>0</v>
      </c>
      <c r="S43" s="122">
        <f t="shared" si="13"/>
        <v>7.2810000000000006</v>
      </c>
      <c r="T43" s="123"/>
    </row>
    <row r="44" spans="1:24" s="79" customFormat="1" ht="39" x14ac:dyDescent="0.25">
      <c r="A44" s="75">
        <f t="shared" si="46"/>
        <v>19</v>
      </c>
      <c r="B44" s="107" t="s">
        <v>63</v>
      </c>
      <c r="C44" s="34" t="s">
        <v>64</v>
      </c>
      <c r="D44" s="119">
        <v>270</v>
      </c>
      <c r="E44" s="119">
        <v>270</v>
      </c>
      <c r="F44" s="119">
        <f t="shared" si="14"/>
        <v>2.3719999999999999</v>
      </c>
      <c r="G44" s="119">
        <v>0</v>
      </c>
      <c r="H44" s="119">
        <v>0</v>
      </c>
      <c r="I44" s="119">
        <v>2.3719999999999999</v>
      </c>
      <c r="J44" s="119">
        <v>0</v>
      </c>
      <c r="K44" s="121">
        <v>2.2999999999999998</v>
      </c>
      <c r="L44" s="122">
        <f t="shared" si="10"/>
        <v>7.2000000000000064E-2</v>
      </c>
      <c r="M44" s="123">
        <f t="shared" si="38"/>
        <v>103.1304347826087</v>
      </c>
      <c r="N44" s="122">
        <f t="shared" si="15"/>
        <v>90</v>
      </c>
      <c r="O44" s="122">
        <f t="shared" si="11"/>
        <v>-87.628</v>
      </c>
      <c r="P44" s="123">
        <f t="shared" ref="P44:P49" si="47">F44/N44*100</f>
        <v>2.6355555555555554</v>
      </c>
      <c r="Q44" s="123">
        <f t="shared" si="16"/>
        <v>0.87851851851851837</v>
      </c>
      <c r="R44" s="119">
        <v>0</v>
      </c>
      <c r="S44" s="122">
        <f t="shared" si="13"/>
        <v>2.3719999999999999</v>
      </c>
      <c r="T44" s="123"/>
    </row>
    <row r="45" spans="1:24" s="79" customFormat="1" ht="23.25" x14ac:dyDescent="0.25">
      <c r="A45" s="75">
        <f t="shared" si="46"/>
        <v>20</v>
      </c>
      <c r="B45" s="84" t="s">
        <v>8</v>
      </c>
      <c r="C45" s="76" t="s">
        <v>21</v>
      </c>
      <c r="D45" s="119">
        <v>1700</v>
      </c>
      <c r="E45" s="119">
        <v>1700</v>
      </c>
      <c r="F45" s="119">
        <f t="shared" si="14"/>
        <v>1043.0070000000001</v>
      </c>
      <c r="G45" s="119">
        <v>255.631</v>
      </c>
      <c r="H45" s="119">
        <v>306.07900000000001</v>
      </c>
      <c r="I45" s="119">
        <v>239.01900000000001</v>
      </c>
      <c r="J45" s="119">
        <v>242.27799999999999</v>
      </c>
      <c r="K45" s="121">
        <v>874.7</v>
      </c>
      <c r="L45" s="122">
        <f t="shared" ref="L45:L60" si="48">F45-K45</f>
        <v>168.30700000000002</v>
      </c>
      <c r="M45" s="123">
        <f>F45/K45*100</f>
        <v>119.24168286269578</v>
      </c>
      <c r="N45" s="122">
        <f t="shared" si="15"/>
        <v>566.66666666666663</v>
      </c>
      <c r="O45" s="122">
        <f t="shared" ref="O45:O60" si="49">F45-N45</f>
        <v>476.34033333333343</v>
      </c>
      <c r="P45" s="123">
        <f t="shared" si="47"/>
        <v>184.06005882352943</v>
      </c>
      <c r="Q45" s="123">
        <f t="shared" si="16"/>
        <v>61.353352941176475</v>
      </c>
      <c r="R45" s="119">
        <v>433.65700000000004</v>
      </c>
      <c r="S45" s="122">
        <f t="shared" ref="S45:S60" si="50">F45-R45</f>
        <v>609.35</v>
      </c>
      <c r="T45" s="123">
        <f>F45/R45*100</f>
        <v>240.51427741279397</v>
      </c>
      <c r="X45" s="79">
        <v>246438.04</v>
      </c>
    </row>
    <row r="46" spans="1:24" s="79" customFormat="1" ht="156" x14ac:dyDescent="0.25">
      <c r="A46" s="75">
        <f t="shared" si="46"/>
        <v>21</v>
      </c>
      <c r="B46" s="84" t="s">
        <v>55</v>
      </c>
      <c r="C46" s="76" t="s">
        <v>49</v>
      </c>
      <c r="D46" s="119">
        <v>2000</v>
      </c>
      <c r="E46" s="119">
        <v>2000</v>
      </c>
      <c r="F46" s="119">
        <f t="shared" si="14"/>
        <v>5820.1390000000001</v>
      </c>
      <c r="G46" s="119">
        <v>1130.5809999999999</v>
      </c>
      <c r="H46" s="119">
        <v>421.64100000000002</v>
      </c>
      <c r="I46" s="119">
        <v>471.488</v>
      </c>
      <c r="J46" s="119">
        <v>3796.4290000000001</v>
      </c>
      <c r="K46" s="121">
        <v>2000</v>
      </c>
      <c r="L46" s="122">
        <f t="shared" si="48"/>
        <v>3820.1390000000001</v>
      </c>
      <c r="M46" s="123">
        <f>F46/K46*100</f>
        <v>291.00695000000002</v>
      </c>
      <c r="N46" s="122">
        <f t="shared" si="15"/>
        <v>666.66666666666663</v>
      </c>
      <c r="O46" s="122">
        <f t="shared" si="49"/>
        <v>5153.4723333333332</v>
      </c>
      <c r="P46" s="123">
        <f t="shared" si="47"/>
        <v>873.02085</v>
      </c>
      <c r="Q46" s="123">
        <f t="shared" si="16"/>
        <v>291.00695000000002</v>
      </c>
      <c r="R46" s="119">
        <v>261.923</v>
      </c>
      <c r="S46" s="122">
        <f t="shared" si="50"/>
        <v>5558.2160000000003</v>
      </c>
      <c r="T46" s="123">
        <f>F46/R46*100</f>
        <v>2222.0801533275048</v>
      </c>
    </row>
    <row r="47" spans="1:24" s="79" customFormat="1" ht="78" x14ac:dyDescent="0.25">
      <c r="A47" s="75">
        <f t="shared" si="46"/>
        <v>22</v>
      </c>
      <c r="B47" s="84" t="s">
        <v>124</v>
      </c>
      <c r="C47" s="76" t="s">
        <v>123</v>
      </c>
      <c r="D47" s="119">
        <v>0.25</v>
      </c>
      <c r="E47" s="119">
        <v>0.25</v>
      </c>
      <c r="F47" s="119">
        <f t="shared" si="14"/>
        <v>0</v>
      </c>
      <c r="G47" s="119">
        <v>0</v>
      </c>
      <c r="H47" s="119">
        <v>0</v>
      </c>
      <c r="I47" s="119">
        <v>0</v>
      </c>
      <c r="J47" s="119">
        <v>0</v>
      </c>
      <c r="K47" s="121">
        <v>0</v>
      </c>
      <c r="L47" s="122">
        <f t="shared" si="48"/>
        <v>0</v>
      </c>
      <c r="M47" s="123"/>
      <c r="N47" s="122">
        <f t="shared" si="15"/>
        <v>8.3333333333333329E-2</v>
      </c>
      <c r="O47" s="122">
        <f t="shared" si="49"/>
        <v>-8.3333333333333329E-2</v>
      </c>
      <c r="P47" s="123">
        <f t="shared" si="47"/>
        <v>0</v>
      </c>
      <c r="Q47" s="123">
        <f t="shared" si="16"/>
        <v>0</v>
      </c>
      <c r="R47" s="119">
        <v>0</v>
      </c>
      <c r="S47" s="122">
        <f t="shared" si="50"/>
        <v>0</v>
      </c>
      <c r="T47" s="123"/>
      <c r="V47" s="77">
        <f>F49-F45</f>
        <v>1695241.4209999999</v>
      </c>
      <c r="W47" s="77">
        <f>R49-R45</f>
        <v>1310793.5659999999</v>
      </c>
      <c r="X47" s="78">
        <f>V47/W47</f>
        <v>1.2932939747127199</v>
      </c>
    </row>
    <row r="48" spans="1:24" s="79" customFormat="1" ht="39" x14ac:dyDescent="0.25">
      <c r="A48" s="75">
        <f t="shared" si="46"/>
        <v>23</v>
      </c>
      <c r="B48" s="84" t="s">
        <v>84</v>
      </c>
      <c r="C48" s="76" t="s">
        <v>83</v>
      </c>
      <c r="D48" s="119">
        <v>0.25</v>
      </c>
      <c r="E48" s="119">
        <v>0.25</v>
      </c>
      <c r="F48" s="119">
        <f t="shared" si="14"/>
        <v>0</v>
      </c>
      <c r="G48" s="119">
        <v>0</v>
      </c>
      <c r="H48" s="119">
        <v>0</v>
      </c>
      <c r="I48" s="119">
        <v>0</v>
      </c>
      <c r="J48" s="119">
        <v>0</v>
      </c>
      <c r="K48" s="121">
        <v>0</v>
      </c>
      <c r="L48" s="122">
        <f t="shared" si="48"/>
        <v>0</v>
      </c>
      <c r="M48" s="123"/>
      <c r="N48" s="122">
        <f t="shared" si="15"/>
        <v>8.3333333333333329E-2</v>
      </c>
      <c r="O48" s="122">
        <f t="shared" si="49"/>
        <v>-8.3333333333333329E-2</v>
      </c>
      <c r="P48" s="123">
        <f t="shared" si="47"/>
        <v>0</v>
      </c>
      <c r="Q48" s="123">
        <f t="shared" si="16"/>
        <v>0</v>
      </c>
      <c r="R48" s="119">
        <v>0</v>
      </c>
      <c r="S48" s="122">
        <f t="shared" si="50"/>
        <v>0</v>
      </c>
      <c r="T48" s="123"/>
    </row>
    <row r="49" spans="1:27" s="90" customFormat="1" ht="33.75" customHeight="1" x14ac:dyDescent="0.3">
      <c r="A49" s="85"/>
      <c r="B49" s="86" t="s">
        <v>9</v>
      </c>
      <c r="C49" s="87"/>
      <c r="D49" s="87">
        <f>D7+D8+D9+D14+D21+D27+D28+D29+D30+D31+D32+D33+D36+D41+D42+D43+D44+D45+D46+D48+D47+D35</f>
        <v>4907395.4850000003</v>
      </c>
      <c r="E49" s="87">
        <f>E7+E8+E9+E14+E21+E27+E28+E29+E30+E31+E32+E33+E36+E41+E42+E43+E44+E45+E46+E48+E47+E35</f>
        <v>4907395.4850000003</v>
      </c>
      <c r="F49" s="87">
        <f t="shared" si="14"/>
        <v>1696284.4279999998</v>
      </c>
      <c r="G49" s="87">
        <f t="shared" ref="G49:I49" si="51">G7+G8+G9+G14+G21+G27+G28+G29+G30+G31+G32+G33+G36+G41+G42+G43+G44+G45+G46+G48+G47+G35+G34+G20</f>
        <v>409452.82699999999</v>
      </c>
      <c r="H49" s="87">
        <f t="shared" si="51"/>
        <v>431791.36000000004</v>
      </c>
      <c r="I49" s="87">
        <f t="shared" si="51"/>
        <v>401731.77299999987</v>
      </c>
      <c r="J49" s="87">
        <f>J7+J8+J9+J14+J21+J27+J28+J29+J30+J31+J32+J33+J36+J41+J42+J43+J44+J45+J46+J48+J47+J35+J34+J20</f>
        <v>453308.46799999994</v>
      </c>
      <c r="K49" s="87">
        <f>K7+K8+K9+K14+K21+K27+K28+K29+K30+K31+K32+K33+K36+K41+K42+K43+K44+K45+K46+K48+K47+K35</f>
        <v>1609819.3390000002</v>
      </c>
      <c r="L49" s="88">
        <f t="shared" si="48"/>
        <v>86465.088999999687</v>
      </c>
      <c r="M49" s="89">
        <f>F49/K49*100</f>
        <v>105.37110512374082</v>
      </c>
      <c r="N49" s="87">
        <f>N7+N8+N9+N14+N21+N27+N28+N29+N30+N31+N32+N33+N36+N41+N42+N43+N44+N45+N46+N48+N47+N35</f>
        <v>1635798.4949999996</v>
      </c>
      <c r="O49" s="88">
        <f t="shared" si="49"/>
        <v>60485.933000000194</v>
      </c>
      <c r="P49" s="89">
        <f t="shared" si="47"/>
        <v>103.69763960444286</v>
      </c>
      <c r="Q49" s="89">
        <f t="shared" si="16"/>
        <v>34.565879868147611</v>
      </c>
      <c r="R49" s="87">
        <f>R7+R8+R9+R14+R21+R27+R28+R29+R30+R31+R32+R33+R36+R41+R42+R43+R44+R45+R46+R48+R47+R35+R20</f>
        <v>1311227.2229999998</v>
      </c>
      <c r="S49" s="88">
        <f t="shared" si="50"/>
        <v>385057.20500000007</v>
      </c>
      <c r="T49" s="89">
        <f>F49/R49*100</f>
        <v>129.366169207425</v>
      </c>
      <c r="U49" s="91">
        <v>1311227.223</v>
      </c>
      <c r="V49" s="91">
        <f>U49-R49</f>
        <v>0</v>
      </c>
      <c r="Y49" s="91" t="e">
        <f>#REF!-#REF!-#REF!</f>
        <v>#REF!</v>
      </c>
      <c r="AA49" s="90">
        <v>294547.38299999997</v>
      </c>
    </row>
    <row r="50" spans="1:27" s="10" customFormat="1" ht="97.5" x14ac:dyDescent="0.25">
      <c r="A50" s="24">
        <v>1</v>
      </c>
      <c r="B50" s="171" t="s">
        <v>169</v>
      </c>
      <c r="C50" s="145" t="s">
        <v>166</v>
      </c>
      <c r="D50" s="128">
        <v>0</v>
      </c>
      <c r="E50" s="128">
        <v>10995.7</v>
      </c>
      <c r="F50" s="119">
        <f t="shared" si="14"/>
        <v>3665.2</v>
      </c>
      <c r="G50" s="119">
        <v>0</v>
      </c>
      <c r="H50" s="119">
        <v>0</v>
      </c>
      <c r="I50" s="119">
        <v>2748.9</v>
      </c>
      <c r="J50" s="119">
        <v>916.3</v>
      </c>
      <c r="K50" s="119">
        <v>3665.2</v>
      </c>
      <c r="L50" s="122">
        <f t="shared" ref="L50" si="52">F50-K50</f>
        <v>0</v>
      </c>
      <c r="M50" s="123">
        <f>F50/K50*100</f>
        <v>100</v>
      </c>
      <c r="N50" s="119">
        <f>K50</f>
        <v>3665.2</v>
      </c>
      <c r="O50" s="122">
        <f t="shared" ref="O50" si="53">F50-N50</f>
        <v>0</v>
      </c>
      <c r="P50" s="123">
        <f>F50/N50*100</f>
        <v>100</v>
      </c>
      <c r="Q50" s="123">
        <f t="shared" ref="Q50" si="54">F50/E50*100</f>
        <v>33.333030184526677</v>
      </c>
      <c r="R50" s="119">
        <v>0</v>
      </c>
      <c r="S50" s="122">
        <f t="shared" si="50"/>
        <v>3665.2</v>
      </c>
      <c r="T50" s="123"/>
      <c r="U50" s="44"/>
      <c r="V50" s="44"/>
      <c r="W50" s="44"/>
      <c r="X50" s="46"/>
    </row>
    <row r="51" spans="1:27" s="10" customFormat="1" ht="38.25" customHeight="1" x14ac:dyDescent="0.25">
      <c r="A51" s="24">
        <f>A50+1</f>
        <v>2</v>
      </c>
      <c r="B51" s="60" t="s">
        <v>171</v>
      </c>
      <c r="C51" s="25" t="s">
        <v>57</v>
      </c>
      <c r="D51" s="128">
        <v>0</v>
      </c>
      <c r="E51" s="128">
        <v>743512.7</v>
      </c>
      <c r="F51" s="119">
        <f t="shared" si="14"/>
        <v>232459.40000000002</v>
      </c>
      <c r="G51" s="119">
        <v>58102.400000000001</v>
      </c>
      <c r="H51" s="119">
        <v>58123.4</v>
      </c>
      <c r="I51" s="119">
        <v>58121.9</v>
      </c>
      <c r="J51" s="119">
        <v>58111.7</v>
      </c>
      <c r="K51" s="119">
        <v>232459.4</v>
      </c>
      <c r="L51" s="122">
        <f t="shared" si="48"/>
        <v>0</v>
      </c>
      <c r="M51" s="123">
        <f>F51/K51*100</f>
        <v>100.00000000000003</v>
      </c>
      <c r="N51" s="119">
        <f t="shared" ref="N51:N60" si="55">K51</f>
        <v>232459.4</v>
      </c>
      <c r="O51" s="122">
        <f t="shared" si="49"/>
        <v>0</v>
      </c>
      <c r="P51" s="123">
        <f>F51/N51*100</f>
        <v>100.00000000000003</v>
      </c>
      <c r="Q51" s="123">
        <f t="shared" si="16"/>
        <v>31.26502075889222</v>
      </c>
      <c r="R51" s="119">
        <v>263550.8</v>
      </c>
      <c r="S51" s="122">
        <f t="shared" si="50"/>
        <v>-31091.399999999965</v>
      </c>
      <c r="T51" s="123">
        <f>F51/R51*100</f>
        <v>88.202881569701191</v>
      </c>
      <c r="U51" s="44"/>
      <c r="V51" s="44"/>
      <c r="W51" s="44"/>
      <c r="X51" s="46"/>
    </row>
    <row r="52" spans="1:27" s="10" customFormat="1" ht="87.75" customHeight="1" x14ac:dyDescent="0.25">
      <c r="A52" s="24">
        <f t="shared" ref="A52:A56" si="56">A51+1</f>
        <v>3</v>
      </c>
      <c r="B52" s="171" t="s">
        <v>172</v>
      </c>
      <c r="C52" s="145" t="s">
        <v>110</v>
      </c>
      <c r="D52" s="128">
        <v>0</v>
      </c>
      <c r="E52" s="128">
        <v>0</v>
      </c>
      <c r="F52" s="119">
        <f t="shared" si="14"/>
        <v>0</v>
      </c>
      <c r="G52" s="119">
        <v>0</v>
      </c>
      <c r="H52" s="119">
        <v>0</v>
      </c>
      <c r="I52" s="119"/>
      <c r="J52" s="119">
        <v>0</v>
      </c>
      <c r="K52" s="119">
        <v>0</v>
      </c>
      <c r="L52" s="122">
        <f t="shared" si="48"/>
        <v>0</v>
      </c>
      <c r="M52" s="123"/>
      <c r="N52" s="119">
        <f t="shared" si="55"/>
        <v>0</v>
      </c>
      <c r="O52" s="122">
        <f t="shared" si="49"/>
        <v>0</v>
      </c>
      <c r="P52" s="123"/>
      <c r="Q52" s="123"/>
      <c r="R52" s="119">
        <v>9666.7999999999993</v>
      </c>
      <c r="S52" s="122">
        <f t="shared" si="50"/>
        <v>-9666.7999999999993</v>
      </c>
      <c r="T52" s="123"/>
      <c r="U52" s="44"/>
      <c r="V52" s="44"/>
      <c r="W52" s="44"/>
      <c r="X52" s="46"/>
    </row>
    <row r="53" spans="1:27" s="10" customFormat="1" ht="48.75" customHeight="1" x14ac:dyDescent="0.25">
      <c r="A53" s="24">
        <f t="shared" si="56"/>
        <v>4</v>
      </c>
      <c r="B53" s="171" t="s">
        <v>173</v>
      </c>
      <c r="C53" s="145" t="s">
        <v>119</v>
      </c>
      <c r="D53" s="128">
        <v>0</v>
      </c>
      <c r="E53" s="128">
        <v>17495.900000000001</v>
      </c>
      <c r="F53" s="119">
        <f t="shared" si="14"/>
        <v>5470.0960000000005</v>
      </c>
      <c r="G53" s="119">
        <v>1367.232</v>
      </c>
      <c r="H53" s="119">
        <v>1367.7239999999999</v>
      </c>
      <c r="I53" s="119">
        <v>1367.6890000000001</v>
      </c>
      <c r="J53" s="119">
        <v>1367.451</v>
      </c>
      <c r="K53" s="121">
        <v>5470.0959999999995</v>
      </c>
      <c r="L53" s="122">
        <f t="shared" si="48"/>
        <v>0</v>
      </c>
      <c r="M53" s="123">
        <f>F53/K53*100</f>
        <v>100.00000000000003</v>
      </c>
      <c r="N53" s="119">
        <f t="shared" si="55"/>
        <v>5470.0959999999995</v>
      </c>
      <c r="O53" s="122">
        <f t="shared" si="49"/>
        <v>0</v>
      </c>
      <c r="P53" s="123">
        <f>F53/N53*100</f>
        <v>100.00000000000003</v>
      </c>
      <c r="Q53" s="123">
        <f t="shared" si="16"/>
        <v>31.265016375265063</v>
      </c>
      <c r="R53" s="119">
        <v>5163.5450000000001</v>
      </c>
      <c r="S53" s="122">
        <f t="shared" si="50"/>
        <v>306.55100000000039</v>
      </c>
      <c r="T53" s="123">
        <f>F53/R53*100</f>
        <v>105.93683215697742</v>
      </c>
    </row>
    <row r="54" spans="1:27" s="10" customFormat="1" ht="68.25" customHeight="1" x14ac:dyDescent="0.25">
      <c r="A54" s="24">
        <f t="shared" si="56"/>
        <v>5</v>
      </c>
      <c r="B54" s="171" t="s">
        <v>174</v>
      </c>
      <c r="C54" s="145">
        <v>41051200</v>
      </c>
      <c r="D54" s="128">
        <v>0</v>
      </c>
      <c r="E54" s="128">
        <v>2613.9</v>
      </c>
      <c r="F54" s="119">
        <f t="shared" si="14"/>
        <v>871.27200000000005</v>
      </c>
      <c r="G54" s="119">
        <v>217.81800000000001</v>
      </c>
      <c r="H54" s="119">
        <v>217.81800000000001</v>
      </c>
      <c r="I54" s="119">
        <v>217.81800000000001</v>
      </c>
      <c r="J54" s="119">
        <v>217.81800000000001</v>
      </c>
      <c r="K54" s="121">
        <v>871.27200000000005</v>
      </c>
      <c r="L54" s="122">
        <f t="shared" si="48"/>
        <v>0</v>
      </c>
      <c r="M54" s="123">
        <f>F54/K54*100</f>
        <v>100</v>
      </c>
      <c r="N54" s="119">
        <f t="shared" si="55"/>
        <v>871.27200000000005</v>
      </c>
      <c r="O54" s="122">
        <f t="shared" si="49"/>
        <v>0</v>
      </c>
      <c r="P54" s="123">
        <f>F54/N54*100</f>
        <v>100</v>
      </c>
      <c r="Q54" s="123">
        <f t="shared" si="16"/>
        <v>33.332262137036608</v>
      </c>
      <c r="R54" s="119">
        <v>774.04</v>
      </c>
      <c r="S54" s="122">
        <f t="shared" si="50"/>
        <v>97.232000000000085</v>
      </c>
      <c r="T54" s="123">
        <f>F54/R54*100</f>
        <v>112.56162472223659</v>
      </c>
    </row>
    <row r="55" spans="1:27" s="10" customFormat="1" ht="68.25" customHeight="1" x14ac:dyDescent="0.25">
      <c r="A55" s="24">
        <f t="shared" si="56"/>
        <v>6</v>
      </c>
      <c r="B55" s="171" t="s">
        <v>170</v>
      </c>
      <c r="C55" s="145" t="s">
        <v>167</v>
      </c>
      <c r="D55" s="128">
        <v>0</v>
      </c>
      <c r="E55" s="128">
        <v>2073.1129999999998</v>
      </c>
      <c r="F55" s="119">
        <f t="shared" si="14"/>
        <v>2073.1129999999998</v>
      </c>
      <c r="G55" s="119">
        <v>0</v>
      </c>
      <c r="H55" s="119">
        <v>0</v>
      </c>
      <c r="I55" s="119">
        <v>2073.1129999999998</v>
      </c>
      <c r="J55" s="119">
        <v>0</v>
      </c>
      <c r="K55" s="121">
        <v>2073.1129999999998</v>
      </c>
      <c r="L55" s="122">
        <f t="shared" ref="L55" si="57">F55-K55</f>
        <v>0</v>
      </c>
      <c r="M55" s="123">
        <f>F55/K55*100</f>
        <v>100</v>
      </c>
      <c r="N55" s="119">
        <f t="shared" si="55"/>
        <v>2073.1129999999998</v>
      </c>
      <c r="O55" s="122">
        <f t="shared" ref="O55" si="58">F55-N55</f>
        <v>0</v>
      </c>
      <c r="P55" s="123">
        <f>F55/N55*100</f>
        <v>100</v>
      </c>
      <c r="Q55" s="123">
        <f t="shared" ref="Q55" si="59">F55/E55*100</f>
        <v>100</v>
      </c>
      <c r="R55" s="119">
        <v>0</v>
      </c>
      <c r="S55" s="122">
        <f t="shared" si="50"/>
        <v>2073.1129999999998</v>
      </c>
      <c r="T55" s="123"/>
    </row>
    <row r="56" spans="1:27" s="10" customFormat="1" ht="36" customHeight="1" x14ac:dyDescent="0.25">
      <c r="A56" s="24">
        <f t="shared" si="56"/>
        <v>7</v>
      </c>
      <c r="B56" s="172" t="s">
        <v>175</v>
      </c>
      <c r="C56" s="145" t="s">
        <v>111</v>
      </c>
      <c r="D56" s="128">
        <f>SUM(D57:D60)</f>
        <v>4144</v>
      </c>
      <c r="E56" s="128">
        <f>SUM(E57:E60)</f>
        <v>4144</v>
      </c>
      <c r="F56" s="119">
        <f t="shared" si="14"/>
        <v>1286.1600000000001</v>
      </c>
      <c r="G56" s="119">
        <f>SUM(G57:G60)</f>
        <v>0</v>
      </c>
      <c r="H56" s="119">
        <f>SUM(H57:H60)</f>
        <v>175.19500000000002</v>
      </c>
      <c r="I56" s="119">
        <f>SUM(I57:I60)</f>
        <v>372.44399999999996</v>
      </c>
      <c r="J56" s="119">
        <f>SUM(J57:J60)</f>
        <v>738.52100000000007</v>
      </c>
      <c r="K56" s="119">
        <f>SUM(K57:K60)</f>
        <v>1387.355</v>
      </c>
      <c r="L56" s="122">
        <f t="shared" si="48"/>
        <v>-101.19499999999994</v>
      </c>
      <c r="M56" s="123">
        <f t="shared" ref="M56:M60" si="60">F56/K56*100</f>
        <v>92.705904400820273</v>
      </c>
      <c r="N56" s="119">
        <f t="shared" si="55"/>
        <v>1387.355</v>
      </c>
      <c r="O56" s="122">
        <f t="shared" si="49"/>
        <v>-101.19499999999994</v>
      </c>
      <c r="P56" s="123">
        <f t="shared" ref="P56:P60" si="61">F56/N56*100</f>
        <v>92.705904400820273</v>
      </c>
      <c r="Q56" s="123">
        <f t="shared" si="16"/>
        <v>31.036679536679539</v>
      </c>
      <c r="R56" s="119">
        <f>SUM(R57:R60)</f>
        <v>907.62700000000007</v>
      </c>
      <c r="S56" s="122">
        <f t="shared" si="50"/>
        <v>378.53300000000002</v>
      </c>
      <c r="T56" s="123">
        <f t="shared" ref="T56:T58" si="62">F56/R56*100</f>
        <v>141.70578883175577</v>
      </c>
      <c r="U56" s="120">
        <v>5098.8379999999997</v>
      </c>
      <c r="V56" s="120">
        <f>U56-R56</f>
        <v>4191.2109999999993</v>
      </c>
    </row>
    <row r="57" spans="1:27" s="43" customFormat="1" ht="39" x14ac:dyDescent="0.25">
      <c r="A57" s="42" t="s">
        <v>155</v>
      </c>
      <c r="B57" s="173" t="s">
        <v>176</v>
      </c>
      <c r="C57" s="106"/>
      <c r="D57" s="129">
        <v>105</v>
      </c>
      <c r="E57" s="129">
        <v>105</v>
      </c>
      <c r="F57" s="124">
        <f t="shared" si="14"/>
        <v>13.022</v>
      </c>
      <c r="G57" s="124">
        <v>0</v>
      </c>
      <c r="H57" s="124">
        <v>6.05</v>
      </c>
      <c r="I57" s="124">
        <v>0</v>
      </c>
      <c r="J57" s="124">
        <v>6.9720000000000004</v>
      </c>
      <c r="K57" s="125">
        <v>26.808</v>
      </c>
      <c r="L57" s="126">
        <f t="shared" si="48"/>
        <v>-13.786</v>
      </c>
      <c r="M57" s="127">
        <f t="shared" si="60"/>
        <v>48.57505222321695</v>
      </c>
      <c r="N57" s="124">
        <f t="shared" si="55"/>
        <v>26.808</v>
      </c>
      <c r="O57" s="126">
        <f t="shared" si="49"/>
        <v>-13.786</v>
      </c>
      <c r="P57" s="127">
        <f t="shared" si="61"/>
        <v>48.57505222321695</v>
      </c>
      <c r="Q57" s="127">
        <f t="shared" si="16"/>
        <v>12.401904761904763</v>
      </c>
      <c r="R57" s="124">
        <v>24.346</v>
      </c>
      <c r="S57" s="126">
        <f t="shared" si="50"/>
        <v>-11.324</v>
      </c>
      <c r="T57" s="127">
        <f t="shared" si="62"/>
        <v>53.487225827651365</v>
      </c>
    </row>
    <row r="58" spans="1:27" s="43" customFormat="1" ht="39" x14ac:dyDescent="0.25">
      <c r="A58" s="42" t="s">
        <v>156</v>
      </c>
      <c r="B58" s="173" t="s">
        <v>177</v>
      </c>
      <c r="C58" s="106"/>
      <c r="D58" s="129">
        <v>1246.7</v>
      </c>
      <c r="E58" s="129">
        <v>1246.7</v>
      </c>
      <c r="F58" s="124">
        <f t="shared" si="14"/>
        <v>474.81099999999998</v>
      </c>
      <c r="G58" s="124">
        <v>0</v>
      </c>
      <c r="H58" s="124">
        <v>169.14500000000001</v>
      </c>
      <c r="I58" s="124">
        <v>226.30799999999999</v>
      </c>
      <c r="J58" s="124">
        <v>79.358000000000004</v>
      </c>
      <c r="K58" s="125">
        <v>474.81099999999998</v>
      </c>
      <c r="L58" s="126">
        <f t="shared" si="48"/>
        <v>0</v>
      </c>
      <c r="M58" s="127">
        <f t="shared" si="60"/>
        <v>100</v>
      </c>
      <c r="N58" s="124">
        <f t="shared" si="55"/>
        <v>474.81099999999998</v>
      </c>
      <c r="O58" s="126">
        <f t="shared" si="49"/>
        <v>0</v>
      </c>
      <c r="P58" s="127">
        <f t="shared" si="61"/>
        <v>100</v>
      </c>
      <c r="Q58" s="127">
        <f t="shared" si="16"/>
        <v>38.08542552338173</v>
      </c>
      <c r="R58" s="124">
        <v>241.82400000000001</v>
      </c>
      <c r="S58" s="126">
        <f t="shared" si="50"/>
        <v>232.98699999999997</v>
      </c>
      <c r="T58" s="127">
        <f t="shared" si="62"/>
        <v>196.34568942702128</v>
      </c>
    </row>
    <row r="59" spans="1:27" s="43" customFormat="1" ht="78" x14ac:dyDescent="0.25">
      <c r="A59" s="42" t="s">
        <v>157</v>
      </c>
      <c r="B59" s="173" t="s">
        <v>178</v>
      </c>
      <c r="C59" s="106"/>
      <c r="D59" s="129">
        <v>292.3</v>
      </c>
      <c r="E59" s="129">
        <v>292.3</v>
      </c>
      <c r="F59" s="124">
        <f t="shared" si="14"/>
        <v>146.136</v>
      </c>
      <c r="G59" s="124">
        <v>0</v>
      </c>
      <c r="H59" s="124">
        <v>0</v>
      </c>
      <c r="I59" s="124">
        <v>146.136</v>
      </c>
      <c r="J59" s="124">
        <v>0</v>
      </c>
      <c r="K59" s="125">
        <v>146.136</v>
      </c>
      <c r="L59" s="126">
        <f t="shared" si="48"/>
        <v>0</v>
      </c>
      <c r="M59" s="127">
        <f t="shared" si="60"/>
        <v>100</v>
      </c>
      <c r="N59" s="124">
        <f t="shared" si="55"/>
        <v>146.136</v>
      </c>
      <c r="O59" s="126">
        <f t="shared" si="49"/>
        <v>0</v>
      </c>
      <c r="P59" s="127">
        <f t="shared" si="61"/>
        <v>100</v>
      </c>
      <c r="Q59" s="127">
        <f t="shared" si="16"/>
        <v>49.995210400273685</v>
      </c>
      <c r="R59" s="124">
        <v>146.136</v>
      </c>
      <c r="S59" s="126">
        <f t="shared" si="50"/>
        <v>0</v>
      </c>
      <c r="T59" s="127"/>
    </row>
    <row r="60" spans="1:27" s="43" customFormat="1" ht="58.5" x14ac:dyDescent="0.25">
      <c r="A60" s="42" t="s">
        <v>158</v>
      </c>
      <c r="B60" s="173" t="s">
        <v>179</v>
      </c>
      <c r="C60" s="106"/>
      <c r="D60" s="129">
        <v>2500</v>
      </c>
      <c r="E60" s="129">
        <v>2500</v>
      </c>
      <c r="F60" s="124">
        <f t="shared" si="14"/>
        <v>652.19100000000003</v>
      </c>
      <c r="G60" s="124">
        <v>0</v>
      </c>
      <c r="H60" s="124">
        <v>0</v>
      </c>
      <c r="I60" s="124">
        <v>0</v>
      </c>
      <c r="J60" s="124">
        <v>652.19100000000003</v>
      </c>
      <c r="K60" s="125">
        <v>739.6</v>
      </c>
      <c r="L60" s="126">
        <f t="shared" si="48"/>
        <v>-87.408999999999992</v>
      </c>
      <c r="M60" s="127">
        <f t="shared" si="60"/>
        <v>88.181584640346131</v>
      </c>
      <c r="N60" s="124">
        <f t="shared" si="55"/>
        <v>739.6</v>
      </c>
      <c r="O60" s="126">
        <f t="shared" si="49"/>
        <v>-87.408999999999992</v>
      </c>
      <c r="P60" s="127">
        <f t="shared" si="61"/>
        <v>88.181584640346131</v>
      </c>
      <c r="Q60" s="127">
        <f t="shared" si="16"/>
        <v>26.08764</v>
      </c>
      <c r="R60" s="124">
        <v>495.32100000000003</v>
      </c>
      <c r="S60" s="126">
        <f t="shared" si="50"/>
        <v>156.87</v>
      </c>
      <c r="T60" s="127"/>
    </row>
    <row r="61" spans="1:27" s="10" customFormat="1" ht="23.25" x14ac:dyDescent="0.25">
      <c r="A61" s="24"/>
      <c r="B61" s="146"/>
      <c r="C61" s="25"/>
      <c r="D61" s="128"/>
      <c r="E61" s="128"/>
      <c r="F61" s="119"/>
      <c r="G61" s="119"/>
      <c r="H61" s="119"/>
      <c r="I61" s="119"/>
      <c r="J61" s="119"/>
      <c r="K61" s="128"/>
      <c r="L61" s="122"/>
      <c r="M61" s="123"/>
      <c r="N61" s="128"/>
      <c r="O61" s="122"/>
      <c r="P61" s="123"/>
      <c r="Q61" s="123"/>
      <c r="R61" s="119"/>
      <c r="S61" s="126"/>
      <c r="T61" s="123"/>
    </row>
    <row r="62" spans="1:27" s="50" customFormat="1" ht="28.5" customHeight="1" x14ac:dyDescent="0.3">
      <c r="A62" s="47"/>
      <c r="B62" s="51" t="s">
        <v>31</v>
      </c>
      <c r="C62" s="48"/>
      <c r="D62" s="49">
        <f>D66+D65+D64</f>
        <v>4144</v>
      </c>
      <c r="E62" s="49">
        <f>E66+E65+E64</f>
        <v>780835.31299999997</v>
      </c>
      <c r="F62" s="49">
        <f t="shared" si="14"/>
        <v>245825.24100000001</v>
      </c>
      <c r="G62" s="49">
        <f t="shared" ref="G62:J62" si="63">G66+G65+G64</f>
        <v>59687.450000000004</v>
      </c>
      <c r="H62" s="49">
        <f t="shared" si="63"/>
        <v>59884.137000000002</v>
      </c>
      <c r="I62" s="49">
        <f t="shared" ref="I62" si="64">I66+I65+I64</f>
        <v>64901.864000000001</v>
      </c>
      <c r="J62" s="49">
        <f t="shared" si="63"/>
        <v>61351.79</v>
      </c>
      <c r="K62" s="49">
        <f>K66+K65+K64</f>
        <v>245926.43600000002</v>
      </c>
      <c r="L62" s="88">
        <f>F62-K62</f>
        <v>-101.19500000000698</v>
      </c>
      <c r="M62" s="89">
        <f>F62/K62*100</f>
        <v>99.958851516068819</v>
      </c>
      <c r="N62" s="49">
        <f>N66+N65+N64</f>
        <v>245926.43600000002</v>
      </c>
      <c r="O62" s="88">
        <f>F62-N62</f>
        <v>-101.19500000000698</v>
      </c>
      <c r="P62" s="89">
        <f>F62/N62*100</f>
        <v>99.958851516068819</v>
      </c>
      <c r="Q62" s="89">
        <f t="shared" si="16"/>
        <v>31.482341654801672</v>
      </c>
      <c r="R62" s="49">
        <f>R66+R65</f>
        <v>280062.81199999998</v>
      </c>
      <c r="S62" s="88">
        <f>F62-R62</f>
        <v>-34237.570999999967</v>
      </c>
      <c r="T62" s="89">
        <f>F62/R62*100</f>
        <v>87.775038479582221</v>
      </c>
    </row>
    <row r="63" spans="1:27" s="13" customFormat="1" ht="23.25" x14ac:dyDescent="0.25">
      <c r="A63" s="12"/>
      <c r="B63" s="168" t="s">
        <v>97</v>
      </c>
      <c r="C63" s="11"/>
      <c r="D63" s="130"/>
      <c r="E63" s="130"/>
      <c r="F63" s="130"/>
      <c r="G63" s="130"/>
      <c r="H63" s="130"/>
      <c r="I63" s="130"/>
      <c r="J63" s="130"/>
      <c r="K63" s="130"/>
      <c r="L63" s="122"/>
      <c r="M63" s="123"/>
      <c r="N63" s="130"/>
      <c r="O63" s="92"/>
      <c r="P63" s="93"/>
      <c r="Q63" s="93"/>
      <c r="R63" s="130"/>
      <c r="S63" s="92"/>
      <c r="T63" s="93"/>
    </row>
    <row r="64" spans="1:27" s="13" customFormat="1" ht="27.75" customHeight="1" x14ac:dyDescent="0.25">
      <c r="A64" s="12"/>
      <c r="B64" s="161" t="s">
        <v>168</v>
      </c>
      <c r="C64" s="26"/>
      <c r="D64" s="56">
        <f>D50</f>
        <v>0</v>
      </c>
      <c r="E64" s="56">
        <f>E50</f>
        <v>10995.7</v>
      </c>
      <c r="F64" s="56">
        <f>SUM(G64:J64)</f>
        <v>3665.2</v>
      </c>
      <c r="G64" s="56">
        <f>G50</f>
        <v>0</v>
      </c>
      <c r="H64" s="56">
        <f t="shared" ref="H64:K64" si="65">H50</f>
        <v>0</v>
      </c>
      <c r="I64" s="56">
        <f t="shared" ref="I64" si="66">I50</f>
        <v>2748.9</v>
      </c>
      <c r="J64" s="56">
        <f t="shared" si="65"/>
        <v>916.3</v>
      </c>
      <c r="K64" s="56">
        <f t="shared" si="65"/>
        <v>3665.2</v>
      </c>
      <c r="L64" s="92">
        <f t="shared" ref="L64:L65" si="67">F64-K64</f>
        <v>0</v>
      </c>
      <c r="M64" s="93">
        <f t="shared" ref="M64" si="68">F64/K64*100</f>
        <v>100</v>
      </c>
      <c r="N64" s="56">
        <f t="shared" ref="N64" si="69">N50</f>
        <v>3665.2</v>
      </c>
      <c r="O64" s="92">
        <f t="shared" ref="O64:O65" si="70">F64-N64</f>
        <v>0</v>
      </c>
      <c r="P64" s="93">
        <f t="shared" ref="P64" si="71">F64/N64*100</f>
        <v>100</v>
      </c>
      <c r="Q64" s="93">
        <f t="shared" ref="Q64" si="72">F64/E64*100</f>
        <v>33.333030184526677</v>
      </c>
      <c r="R64" s="56">
        <v>0</v>
      </c>
      <c r="S64" s="92">
        <f>F64-R64</f>
        <v>3665.2</v>
      </c>
      <c r="T64" s="93"/>
    </row>
    <row r="65" spans="1:25" s="13" customFormat="1" ht="27.75" customHeight="1" x14ac:dyDescent="0.25">
      <c r="A65" s="12"/>
      <c r="B65" s="161" t="s">
        <v>112</v>
      </c>
      <c r="C65" s="26"/>
      <c r="D65" s="56">
        <f>D52</f>
        <v>0</v>
      </c>
      <c r="E65" s="56">
        <f>E52</f>
        <v>0</v>
      </c>
      <c r="F65" s="56">
        <f>SUM(G65:J65)</f>
        <v>0</v>
      </c>
      <c r="G65" s="56">
        <f>G52</f>
        <v>0</v>
      </c>
      <c r="H65" s="56">
        <f t="shared" ref="H65:K65" si="73">H52</f>
        <v>0</v>
      </c>
      <c r="I65" s="56">
        <f t="shared" ref="I65" si="74">I52</f>
        <v>0</v>
      </c>
      <c r="J65" s="56">
        <f t="shared" si="73"/>
        <v>0</v>
      </c>
      <c r="K65" s="56">
        <f t="shared" si="73"/>
        <v>0</v>
      </c>
      <c r="L65" s="92">
        <f t="shared" si="67"/>
        <v>0</v>
      </c>
      <c r="M65" s="93"/>
      <c r="N65" s="56">
        <f t="shared" ref="N65" si="75">N52</f>
        <v>0</v>
      </c>
      <c r="O65" s="92">
        <f t="shared" si="70"/>
        <v>0</v>
      </c>
      <c r="P65" s="93"/>
      <c r="Q65" s="93"/>
      <c r="R65" s="56">
        <f>R52</f>
        <v>9666.7999999999993</v>
      </c>
      <c r="S65" s="92">
        <f>F65-R65</f>
        <v>-9666.7999999999993</v>
      </c>
      <c r="T65" s="93"/>
    </row>
    <row r="66" spans="1:25" s="13" customFormat="1" ht="27.75" customHeight="1" x14ac:dyDescent="0.25">
      <c r="A66" s="12"/>
      <c r="B66" s="161" t="s">
        <v>72</v>
      </c>
      <c r="C66" s="26"/>
      <c r="D66" s="56">
        <f>D67+D68</f>
        <v>4144</v>
      </c>
      <c r="E66" s="56">
        <f>E67+E68</f>
        <v>769839.61300000001</v>
      </c>
      <c r="F66" s="56">
        <f t="shared" si="14"/>
        <v>242160.041</v>
      </c>
      <c r="G66" s="56">
        <f>G67+G68</f>
        <v>59687.450000000004</v>
      </c>
      <c r="H66" s="56">
        <f t="shared" ref="H66:K66" si="76">H67+H68</f>
        <v>59884.137000000002</v>
      </c>
      <c r="I66" s="56">
        <f t="shared" ref="I66" si="77">I67+I68</f>
        <v>62152.964</v>
      </c>
      <c r="J66" s="56">
        <f t="shared" si="76"/>
        <v>60435.49</v>
      </c>
      <c r="K66" s="56">
        <f t="shared" si="76"/>
        <v>242261.236</v>
      </c>
      <c r="L66" s="92">
        <f>F66-K66</f>
        <v>-101.19500000000698</v>
      </c>
      <c r="M66" s="93">
        <f>F66/K66*100</f>
        <v>99.958228975600534</v>
      </c>
      <c r="N66" s="56">
        <f t="shared" ref="N66" si="78">N67+N68</f>
        <v>242261.236</v>
      </c>
      <c r="O66" s="92">
        <f>F66-N66</f>
        <v>-101.19500000000698</v>
      </c>
      <c r="P66" s="93">
        <f>F66/N66*100</f>
        <v>99.958228975600534</v>
      </c>
      <c r="Q66" s="93">
        <f t="shared" si="16"/>
        <v>31.455908076270944</v>
      </c>
      <c r="R66" s="56">
        <f>R67+R68</f>
        <v>270396.01199999999</v>
      </c>
      <c r="S66" s="92">
        <f>F66-R66</f>
        <v>-28235.97099999999</v>
      </c>
      <c r="T66" s="93">
        <f>F66/R66*100</f>
        <v>89.557549021839861</v>
      </c>
    </row>
    <row r="67" spans="1:25" s="8" customFormat="1" ht="27.75" customHeight="1" x14ac:dyDescent="0.25">
      <c r="A67" s="14"/>
      <c r="B67" s="17" t="s">
        <v>101</v>
      </c>
      <c r="C67" s="17"/>
      <c r="D67" s="129">
        <f>D51</f>
        <v>0</v>
      </c>
      <c r="E67" s="129">
        <f>E51</f>
        <v>743512.7</v>
      </c>
      <c r="F67" s="129">
        <f t="shared" si="14"/>
        <v>232459.40000000002</v>
      </c>
      <c r="G67" s="129">
        <f>G51</f>
        <v>58102.400000000001</v>
      </c>
      <c r="H67" s="129">
        <f t="shared" ref="H67:K67" si="79">H51</f>
        <v>58123.4</v>
      </c>
      <c r="I67" s="129">
        <f t="shared" ref="I67" si="80">I51</f>
        <v>58121.9</v>
      </c>
      <c r="J67" s="129">
        <f t="shared" si="79"/>
        <v>58111.7</v>
      </c>
      <c r="K67" s="129">
        <f t="shared" si="79"/>
        <v>232459.4</v>
      </c>
      <c r="L67" s="126">
        <f>F67-K67</f>
        <v>0</v>
      </c>
      <c r="M67" s="127">
        <f>F67/K67*100</f>
        <v>100.00000000000003</v>
      </c>
      <c r="N67" s="129">
        <f t="shared" ref="N67" si="81">N51</f>
        <v>232459.4</v>
      </c>
      <c r="O67" s="126">
        <f>F67-N67</f>
        <v>0</v>
      </c>
      <c r="P67" s="127">
        <f>F67/N67*100</f>
        <v>100.00000000000003</v>
      </c>
      <c r="Q67" s="127">
        <f t="shared" si="16"/>
        <v>31.26502075889222</v>
      </c>
      <c r="R67" s="129">
        <f>R51</f>
        <v>263550.8</v>
      </c>
      <c r="S67" s="126">
        <f>F67-R67</f>
        <v>-31091.399999999965</v>
      </c>
      <c r="T67" s="127">
        <f>F67/R67*100</f>
        <v>88.202881569701191</v>
      </c>
    </row>
    <row r="68" spans="1:25" s="8" customFormat="1" ht="27.75" customHeight="1" x14ac:dyDescent="0.25">
      <c r="A68" s="14"/>
      <c r="B68" s="169" t="s">
        <v>100</v>
      </c>
      <c r="C68" s="17"/>
      <c r="D68" s="129">
        <f>D53+D56+D54</f>
        <v>4144</v>
      </c>
      <c r="E68" s="129">
        <f>E53+E56+E54+E55</f>
        <v>26326.913000000004</v>
      </c>
      <c r="F68" s="129">
        <f t="shared" si="14"/>
        <v>9700.6409999999996</v>
      </c>
      <c r="G68" s="129">
        <f>G53+G56+G54+G55</f>
        <v>1585.05</v>
      </c>
      <c r="H68" s="129">
        <f t="shared" ref="H68:K68" si="82">H53+H56+H54+H55</f>
        <v>1760.7369999999999</v>
      </c>
      <c r="I68" s="129">
        <f t="shared" ref="I68" si="83">I53+I56+I54+I55</f>
        <v>4031.0639999999999</v>
      </c>
      <c r="J68" s="129">
        <f t="shared" si="82"/>
        <v>2323.7900000000004</v>
      </c>
      <c r="K68" s="129">
        <f t="shared" si="82"/>
        <v>9801.8359999999993</v>
      </c>
      <c r="L68" s="126">
        <f>F68-K68</f>
        <v>-101.19499999999971</v>
      </c>
      <c r="M68" s="127">
        <f>F68/K68*100</f>
        <v>98.967591377778618</v>
      </c>
      <c r="N68" s="129">
        <f t="shared" ref="N68" si="84">N53+N56+N54+N55</f>
        <v>9801.8359999999993</v>
      </c>
      <c r="O68" s="126">
        <f>F68-N68</f>
        <v>-101.19499999999971</v>
      </c>
      <c r="P68" s="127">
        <f>F68/N68*100</f>
        <v>98.967591377778618</v>
      </c>
      <c r="Q68" s="127">
        <f t="shared" si="16"/>
        <v>36.846860852998596</v>
      </c>
      <c r="R68" s="129">
        <f>R53+R56+R54</f>
        <v>6845.2120000000004</v>
      </c>
      <c r="S68" s="126">
        <f>F68-R68</f>
        <v>2855.4289999999992</v>
      </c>
      <c r="T68" s="127">
        <f>F68/R68*100</f>
        <v>141.71425223937547</v>
      </c>
    </row>
    <row r="69" spans="1:25" s="8" customFormat="1" ht="23.25" x14ac:dyDescent="0.25">
      <c r="A69" s="14"/>
      <c r="B69" s="45"/>
      <c r="C69" s="17"/>
      <c r="D69" s="129"/>
      <c r="E69" s="129"/>
      <c r="F69" s="129"/>
      <c r="G69" s="129"/>
      <c r="H69" s="129"/>
      <c r="I69" s="129"/>
      <c r="J69" s="129"/>
      <c r="K69" s="129"/>
      <c r="L69" s="126"/>
      <c r="M69" s="127"/>
      <c r="N69" s="129"/>
      <c r="O69" s="126"/>
      <c r="P69" s="127"/>
      <c r="Q69" s="127"/>
      <c r="R69" s="129"/>
      <c r="S69" s="126"/>
      <c r="T69" s="127"/>
    </row>
    <row r="70" spans="1:25" s="158" customFormat="1" ht="33" customHeight="1" x14ac:dyDescent="0.3">
      <c r="A70" s="151"/>
      <c r="B70" s="152" t="s">
        <v>30</v>
      </c>
      <c r="C70" s="153"/>
      <c r="D70" s="154">
        <f>D62+D49</f>
        <v>4911539.4850000003</v>
      </c>
      <c r="E70" s="154">
        <f>E62+E49</f>
        <v>5688230.7980000004</v>
      </c>
      <c r="F70" s="154">
        <f t="shared" si="14"/>
        <v>1942109.6689999998</v>
      </c>
      <c r="G70" s="154">
        <f>G62+G49</f>
        <v>469140.277</v>
      </c>
      <c r="H70" s="154">
        <f>H62+H49</f>
        <v>491675.49700000003</v>
      </c>
      <c r="I70" s="154">
        <f>I62+I49</f>
        <v>466633.63699999987</v>
      </c>
      <c r="J70" s="154">
        <f>J62+J49</f>
        <v>514660.25799999991</v>
      </c>
      <c r="K70" s="154">
        <f>K62+K49</f>
        <v>1855745.7750000001</v>
      </c>
      <c r="L70" s="155">
        <f>F70-K70</f>
        <v>86363.893999999622</v>
      </c>
      <c r="M70" s="156">
        <f>F70/K70*100</f>
        <v>104.6538645090004</v>
      </c>
      <c r="N70" s="154">
        <f>N62+N49</f>
        <v>1881724.9309999996</v>
      </c>
      <c r="O70" s="155">
        <f>F70-N70</f>
        <v>60384.738000000129</v>
      </c>
      <c r="P70" s="156">
        <f>F70/N70*100</f>
        <v>103.20900982950309</v>
      </c>
      <c r="Q70" s="156">
        <f t="shared" si="16"/>
        <v>34.142596142246049</v>
      </c>
      <c r="R70" s="154">
        <f>R62+R49</f>
        <v>1591290.0349999997</v>
      </c>
      <c r="S70" s="155">
        <f>F70-R70</f>
        <v>350819.63400000008</v>
      </c>
      <c r="T70" s="156">
        <f>F70/R70*100</f>
        <v>122.04624086645526</v>
      </c>
      <c r="U70" s="154">
        <v>1591290.0349999999</v>
      </c>
      <c r="V70" s="157">
        <f>U70-R70</f>
        <v>0</v>
      </c>
      <c r="Y70" s="157">
        <f>2708373.649-K70</f>
        <v>852627.87400000007</v>
      </c>
    </row>
    <row r="71" spans="1:25" s="10" customFormat="1" ht="20.25" customHeight="1" x14ac:dyDescent="0.25">
      <c r="A71" s="186" t="s">
        <v>10</v>
      </c>
      <c r="B71" s="186"/>
      <c r="C71" s="186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  <c r="R71" s="186"/>
      <c r="S71" s="186"/>
      <c r="T71" s="186"/>
    </row>
    <row r="72" spans="1:25" s="61" customFormat="1" ht="34.5" customHeight="1" x14ac:dyDescent="0.3">
      <c r="A72" s="24">
        <v>1</v>
      </c>
      <c r="B72" s="60" t="s">
        <v>13</v>
      </c>
      <c r="C72" s="25" t="s">
        <v>22</v>
      </c>
      <c r="D72" s="128">
        <f>D73+D74</f>
        <v>74276.903999999995</v>
      </c>
      <c r="E72" s="128">
        <f t="shared" ref="E72" si="85">D72</f>
        <v>74276.903999999995</v>
      </c>
      <c r="F72" s="119">
        <f t="shared" ref="F72:F94" si="86">SUM(G72:J72)</f>
        <v>58767.844000000005</v>
      </c>
      <c r="G72" s="119">
        <f t="shared" ref="G72:K72" si="87">G73+G74</f>
        <v>12864.64</v>
      </c>
      <c r="H72" s="119">
        <f t="shared" ref="H72:I72" si="88">H73+H74</f>
        <v>12004.368</v>
      </c>
      <c r="I72" s="119">
        <f t="shared" si="88"/>
        <v>21577.853000000003</v>
      </c>
      <c r="J72" s="119">
        <f t="shared" si="87"/>
        <v>12320.983</v>
      </c>
      <c r="K72" s="121">
        <f t="shared" si="87"/>
        <v>24758.967999999997</v>
      </c>
      <c r="L72" s="122">
        <f t="shared" ref="L72:L86" si="89">F72-K72</f>
        <v>34008.876000000004</v>
      </c>
      <c r="M72" s="123">
        <f>F72/K72*100</f>
        <v>237.35982856797588</v>
      </c>
      <c r="N72" s="122">
        <f t="shared" ref="N72" si="90">N73+N74</f>
        <v>24758.967999999997</v>
      </c>
      <c r="O72" s="122">
        <f t="shared" ref="O72:O86" si="91">F72-N72</f>
        <v>34008.876000000004</v>
      </c>
      <c r="P72" s="123">
        <f>F72/N72*100</f>
        <v>237.35982856797588</v>
      </c>
      <c r="Q72" s="123">
        <f t="shared" ref="Q72:Q94" si="92">F72/E72*100</f>
        <v>79.119942855991965</v>
      </c>
      <c r="R72" s="119">
        <f t="shared" ref="R72" si="93">R73+R74</f>
        <v>29057.024999999998</v>
      </c>
      <c r="S72" s="122">
        <f t="shared" ref="S72:S86" si="94">F72-R72</f>
        <v>29710.819000000007</v>
      </c>
      <c r="T72" s="123">
        <f>F72/R72*100</f>
        <v>202.25003764149983</v>
      </c>
    </row>
    <row r="73" spans="1:25" s="64" customFormat="1" ht="48.75" customHeight="1" x14ac:dyDescent="0.3">
      <c r="A73" s="42" t="s">
        <v>117</v>
      </c>
      <c r="B73" s="105" t="s">
        <v>113</v>
      </c>
      <c r="C73" s="17" t="s">
        <v>114</v>
      </c>
      <c r="D73" s="129">
        <v>74276.903999999995</v>
      </c>
      <c r="E73" s="129">
        <v>74276.903999999995</v>
      </c>
      <c r="F73" s="124">
        <f t="shared" si="86"/>
        <v>27497.981</v>
      </c>
      <c r="G73" s="124">
        <v>9648.0720000000001</v>
      </c>
      <c r="H73" s="124">
        <v>5486.2640000000001</v>
      </c>
      <c r="I73" s="124">
        <v>6175.7780000000002</v>
      </c>
      <c r="J73" s="124">
        <v>6187.8670000000002</v>
      </c>
      <c r="K73" s="125">
        <v>24758.967999999997</v>
      </c>
      <c r="L73" s="126">
        <f t="shared" si="89"/>
        <v>2739.0130000000026</v>
      </c>
      <c r="M73" s="127">
        <f>F73/K73*100</f>
        <v>111.06271069133416</v>
      </c>
      <c r="N73" s="126">
        <f>E73/12*4</f>
        <v>24758.967999999997</v>
      </c>
      <c r="O73" s="126">
        <f t="shared" si="91"/>
        <v>2739.0130000000026</v>
      </c>
      <c r="P73" s="127">
        <f>F73/N73*100</f>
        <v>111.06271069133416</v>
      </c>
      <c r="Q73" s="127">
        <f t="shared" si="92"/>
        <v>37.020903563778049</v>
      </c>
      <c r="R73" s="124">
        <v>16915.187999999998</v>
      </c>
      <c r="S73" s="126">
        <f t="shared" si="94"/>
        <v>10582.793000000001</v>
      </c>
      <c r="T73" s="127">
        <f>F73/R73*100</f>
        <v>162.56385090133202</v>
      </c>
    </row>
    <row r="74" spans="1:25" s="64" customFormat="1" ht="36" customHeight="1" x14ac:dyDescent="0.3">
      <c r="A74" s="42" t="s">
        <v>118</v>
      </c>
      <c r="B74" s="105" t="s">
        <v>115</v>
      </c>
      <c r="C74" s="17" t="s">
        <v>116</v>
      </c>
      <c r="D74" s="129">
        <v>0</v>
      </c>
      <c r="E74" s="129">
        <v>0</v>
      </c>
      <c r="F74" s="124">
        <f t="shared" si="86"/>
        <v>31269.863000000005</v>
      </c>
      <c r="G74" s="124">
        <v>3216.5680000000002</v>
      </c>
      <c r="H74" s="124">
        <v>6518.1040000000003</v>
      </c>
      <c r="I74" s="124">
        <v>15402.075000000001</v>
      </c>
      <c r="J74" s="124">
        <v>6133.116</v>
      </c>
      <c r="K74" s="125"/>
      <c r="L74" s="126">
        <f t="shared" si="89"/>
        <v>31269.863000000005</v>
      </c>
      <c r="M74" s="127"/>
      <c r="N74" s="126"/>
      <c r="O74" s="126">
        <f t="shared" si="91"/>
        <v>31269.863000000005</v>
      </c>
      <c r="P74" s="127"/>
      <c r="Q74" s="127"/>
      <c r="R74" s="124">
        <v>12141.837</v>
      </c>
      <c r="S74" s="126">
        <f t="shared" si="94"/>
        <v>19128.026000000005</v>
      </c>
      <c r="T74" s="127">
        <f>F74/R74*100</f>
        <v>257.53815505841499</v>
      </c>
    </row>
    <row r="75" spans="1:25" s="61" customFormat="1" ht="39" x14ac:dyDescent="0.3">
      <c r="A75" s="24">
        <v>2</v>
      </c>
      <c r="B75" s="118" t="s">
        <v>151</v>
      </c>
      <c r="C75" s="25" t="s">
        <v>152</v>
      </c>
      <c r="D75" s="128">
        <v>0</v>
      </c>
      <c r="E75" s="128">
        <v>0</v>
      </c>
      <c r="F75" s="119">
        <f t="shared" si="86"/>
        <v>0</v>
      </c>
      <c r="G75" s="119">
        <v>0</v>
      </c>
      <c r="H75" s="119">
        <v>0</v>
      </c>
      <c r="I75" s="119">
        <v>0</v>
      </c>
      <c r="J75" s="119">
        <v>0</v>
      </c>
      <c r="K75" s="121">
        <v>0</v>
      </c>
      <c r="L75" s="122">
        <f t="shared" ref="L75" si="95">F75-K75</f>
        <v>0</v>
      </c>
      <c r="M75" s="123"/>
      <c r="N75" s="122"/>
      <c r="O75" s="122">
        <f t="shared" ref="O75" si="96">F75-N75</f>
        <v>0</v>
      </c>
      <c r="P75" s="123"/>
      <c r="Q75" s="123"/>
      <c r="R75" s="119">
        <v>38.006</v>
      </c>
      <c r="S75" s="122">
        <f t="shared" si="94"/>
        <v>-38.006</v>
      </c>
      <c r="T75" s="123"/>
    </row>
    <row r="76" spans="1:25" s="61" customFormat="1" ht="38.25" customHeight="1" x14ac:dyDescent="0.3">
      <c r="A76" s="24">
        <v>3</v>
      </c>
      <c r="B76" s="118" t="s">
        <v>34</v>
      </c>
      <c r="C76" s="25" t="s">
        <v>33</v>
      </c>
      <c r="D76" s="128">
        <v>2740</v>
      </c>
      <c r="E76" s="128">
        <v>2740</v>
      </c>
      <c r="F76" s="119">
        <f t="shared" si="86"/>
        <v>624.05100000000004</v>
      </c>
      <c r="G76" s="119">
        <v>102.779</v>
      </c>
      <c r="H76" s="119">
        <v>321.11700000000002</v>
      </c>
      <c r="I76" s="119">
        <v>89.424000000000007</v>
      </c>
      <c r="J76" s="119">
        <v>110.73099999999999</v>
      </c>
      <c r="K76" s="121">
        <v>531</v>
      </c>
      <c r="L76" s="122">
        <f t="shared" si="89"/>
        <v>93.051000000000045</v>
      </c>
      <c r="M76" s="123">
        <f>F76/K76*100</f>
        <v>117.52372881355933</v>
      </c>
      <c r="N76" s="122">
        <f>E76/12*4</f>
        <v>913.33333333333337</v>
      </c>
      <c r="O76" s="122">
        <f t="shared" si="91"/>
        <v>-289.28233333333333</v>
      </c>
      <c r="P76" s="123">
        <f t="shared" ref="P76:P80" si="97">F76/N76*100</f>
        <v>68.326751824817521</v>
      </c>
      <c r="Q76" s="123">
        <f t="shared" si="92"/>
        <v>22.775583941605841</v>
      </c>
      <c r="R76" s="119">
        <v>670.5150000000001</v>
      </c>
      <c r="S76" s="122">
        <f t="shared" si="94"/>
        <v>-46.464000000000055</v>
      </c>
      <c r="T76" s="123">
        <f>F76/R76*100</f>
        <v>93.070401109594854</v>
      </c>
    </row>
    <row r="77" spans="1:25" s="61" customFormat="1" ht="58.5" x14ac:dyDescent="0.3">
      <c r="A77" s="24">
        <v>4</v>
      </c>
      <c r="B77" s="118" t="s">
        <v>153</v>
      </c>
      <c r="C77" s="25" t="s">
        <v>154</v>
      </c>
      <c r="D77" s="128">
        <v>0</v>
      </c>
      <c r="E77" s="128">
        <v>0</v>
      </c>
      <c r="F77" s="119">
        <f t="shared" si="86"/>
        <v>0</v>
      </c>
      <c r="G77" s="119">
        <v>0</v>
      </c>
      <c r="H77" s="119">
        <v>0</v>
      </c>
      <c r="I77" s="119">
        <v>0</v>
      </c>
      <c r="J77" s="119">
        <v>0</v>
      </c>
      <c r="K77" s="121">
        <v>0</v>
      </c>
      <c r="L77" s="122">
        <f t="shared" si="89"/>
        <v>0</v>
      </c>
      <c r="M77" s="123"/>
      <c r="N77" s="122"/>
      <c r="O77" s="122">
        <f t="shared" ref="O77" si="98">F77-N77</f>
        <v>0</v>
      </c>
      <c r="P77" s="123"/>
      <c r="Q77" s="123"/>
      <c r="R77" s="119">
        <v>0.46499999999999997</v>
      </c>
      <c r="S77" s="122">
        <f t="shared" si="94"/>
        <v>-0.46499999999999997</v>
      </c>
      <c r="T77" s="123">
        <f>F77/R77*100</f>
        <v>0</v>
      </c>
    </row>
    <row r="78" spans="1:25" s="61" customFormat="1" ht="39" x14ac:dyDescent="0.3">
      <c r="A78" s="24">
        <v>5</v>
      </c>
      <c r="B78" s="118" t="s">
        <v>85</v>
      </c>
      <c r="C78" s="25">
        <v>21110000</v>
      </c>
      <c r="D78" s="128">
        <v>59</v>
      </c>
      <c r="E78" s="128">
        <v>59</v>
      </c>
      <c r="F78" s="119">
        <f t="shared" si="86"/>
        <v>0</v>
      </c>
      <c r="G78" s="119">
        <v>0</v>
      </c>
      <c r="H78" s="119">
        <v>0</v>
      </c>
      <c r="I78" s="119">
        <v>0</v>
      </c>
      <c r="J78" s="119">
        <v>0</v>
      </c>
      <c r="K78" s="121">
        <v>0</v>
      </c>
      <c r="L78" s="122">
        <f t="shared" si="89"/>
        <v>0</v>
      </c>
      <c r="M78" s="123"/>
      <c r="N78" s="122">
        <f t="shared" ref="N78:N79" si="99">E78/12*4</f>
        <v>19.666666666666668</v>
      </c>
      <c r="O78" s="122">
        <f t="shared" si="91"/>
        <v>-19.666666666666668</v>
      </c>
      <c r="P78" s="123">
        <f t="shared" si="97"/>
        <v>0</v>
      </c>
      <c r="Q78" s="123">
        <f t="shared" si="92"/>
        <v>0</v>
      </c>
      <c r="R78" s="119">
        <v>0</v>
      </c>
      <c r="S78" s="122">
        <f t="shared" si="94"/>
        <v>0</v>
      </c>
      <c r="T78" s="123"/>
    </row>
    <row r="79" spans="1:25" s="61" customFormat="1" ht="58.5" x14ac:dyDescent="0.3">
      <c r="A79" s="24">
        <f t="shared" ref="A79:A80" si="100">A78+1</f>
        <v>6</v>
      </c>
      <c r="B79" s="60" t="s">
        <v>27</v>
      </c>
      <c r="C79" s="25" t="s">
        <v>26</v>
      </c>
      <c r="D79" s="128">
        <v>45</v>
      </c>
      <c r="E79" s="128">
        <v>45</v>
      </c>
      <c r="F79" s="119">
        <f t="shared" si="86"/>
        <v>38.216000000000001</v>
      </c>
      <c r="G79" s="119">
        <v>14.689</v>
      </c>
      <c r="H79" s="119">
        <v>2.5</v>
      </c>
      <c r="I79" s="119">
        <v>2.5</v>
      </c>
      <c r="J79" s="119">
        <v>18.527000000000001</v>
      </c>
      <c r="K79" s="121">
        <v>38.18</v>
      </c>
      <c r="L79" s="122">
        <f t="shared" si="89"/>
        <v>3.6000000000001364E-2</v>
      </c>
      <c r="M79" s="123">
        <f>F79/K79*100</f>
        <v>100.09429020429546</v>
      </c>
      <c r="N79" s="122">
        <f t="shared" si="99"/>
        <v>15</v>
      </c>
      <c r="O79" s="122">
        <f t="shared" si="91"/>
        <v>23.216000000000001</v>
      </c>
      <c r="P79" s="123">
        <f t="shared" si="97"/>
        <v>254.77333333333334</v>
      </c>
      <c r="Q79" s="123">
        <f t="shared" si="92"/>
        <v>84.924444444444447</v>
      </c>
      <c r="R79" s="119">
        <v>14.063000000000001</v>
      </c>
      <c r="S79" s="122">
        <f t="shared" si="94"/>
        <v>24.152999999999999</v>
      </c>
      <c r="T79" s="123">
        <f>F79/R79*100</f>
        <v>271.74856005119818</v>
      </c>
    </row>
    <row r="80" spans="1:25" s="32" customFormat="1" ht="31.5" customHeight="1" x14ac:dyDescent="0.3">
      <c r="A80" s="12">
        <f t="shared" si="100"/>
        <v>7</v>
      </c>
      <c r="B80" s="16" t="s">
        <v>11</v>
      </c>
      <c r="C80" s="9"/>
      <c r="D80" s="56">
        <f>SUM(D81:D84)</f>
        <v>64200</v>
      </c>
      <c r="E80" s="56">
        <f>SUM(E81:E84)</f>
        <v>64200</v>
      </c>
      <c r="F80" s="56">
        <f t="shared" si="86"/>
        <v>16749.728000000003</v>
      </c>
      <c r="G80" s="56">
        <f>SUM(G81:G84)</f>
        <v>1553.5920000000001</v>
      </c>
      <c r="H80" s="56">
        <f>SUM(H81:H84)</f>
        <v>8330.6190000000006</v>
      </c>
      <c r="I80" s="56">
        <f>SUM(I81:I84)</f>
        <v>2334.3040000000001</v>
      </c>
      <c r="J80" s="56">
        <f>SUM(J81:J84)</f>
        <v>4531.2129999999997</v>
      </c>
      <c r="K80" s="56">
        <f>SUM(K81:K84)</f>
        <v>14420.941000000001</v>
      </c>
      <c r="L80" s="56">
        <f t="shared" si="89"/>
        <v>2328.7870000000021</v>
      </c>
      <c r="M80" s="93">
        <f>F80/K80*100</f>
        <v>116.14864799738105</v>
      </c>
      <c r="N80" s="56">
        <f>SUM(N81:N84)</f>
        <v>21400</v>
      </c>
      <c r="O80" s="92">
        <f t="shared" si="91"/>
        <v>-4650.2719999999972</v>
      </c>
      <c r="P80" s="93">
        <f t="shared" si="97"/>
        <v>78.26975700934581</v>
      </c>
      <c r="Q80" s="93">
        <f t="shared" si="92"/>
        <v>26.08991900311527</v>
      </c>
      <c r="R80" s="56">
        <f>SUM(R81:R84)</f>
        <v>16913.505000000001</v>
      </c>
      <c r="S80" s="92">
        <f t="shared" si="94"/>
        <v>-163.77699999999822</v>
      </c>
      <c r="T80" s="93">
        <f>F80/R80*100</f>
        <v>99.031679122689241</v>
      </c>
      <c r="U80" s="62"/>
    </row>
    <row r="81" spans="1:22" s="64" customFormat="1" ht="51.75" customHeight="1" x14ac:dyDescent="0.3">
      <c r="A81" s="14" t="s">
        <v>155</v>
      </c>
      <c r="B81" s="105" t="s">
        <v>128</v>
      </c>
      <c r="C81" s="17" t="s">
        <v>66</v>
      </c>
      <c r="D81" s="129">
        <v>0</v>
      </c>
      <c r="E81" s="129">
        <v>0</v>
      </c>
      <c r="F81" s="124">
        <f t="shared" si="86"/>
        <v>0</v>
      </c>
      <c r="G81" s="124">
        <v>0</v>
      </c>
      <c r="H81" s="124">
        <v>0</v>
      </c>
      <c r="I81" s="124">
        <v>0</v>
      </c>
      <c r="J81" s="124">
        <v>0</v>
      </c>
      <c r="K81" s="125">
        <v>0</v>
      </c>
      <c r="L81" s="126">
        <f t="shared" si="89"/>
        <v>0</v>
      </c>
      <c r="M81" s="127"/>
      <c r="N81" s="126">
        <f t="shared" ref="N81:N82" si="101">E81/12*3</f>
        <v>0</v>
      </c>
      <c r="O81" s="126">
        <f t="shared" si="91"/>
        <v>0</v>
      </c>
      <c r="P81" s="127"/>
      <c r="Q81" s="127"/>
      <c r="R81" s="124">
        <v>0</v>
      </c>
      <c r="S81" s="126">
        <f t="shared" si="94"/>
        <v>0</v>
      </c>
      <c r="T81" s="127"/>
    </row>
    <row r="82" spans="1:22" s="64" customFormat="1" ht="51.75" customHeight="1" x14ac:dyDescent="0.3">
      <c r="A82" s="14" t="s">
        <v>156</v>
      </c>
      <c r="B82" s="105" t="s">
        <v>135</v>
      </c>
      <c r="C82" s="17" t="s">
        <v>47</v>
      </c>
      <c r="D82" s="129">
        <v>0</v>
      </c>
      <c r="E82" s="129">
        <v>0</v>
      </c>
      <c r="F82" s="124">
        <f t="shared" si="86"/>
        <v>1986.1869999999999</v>
      </c>
      <c r="G82" s="124">
        <v>505.08499999999998</v>
      </c>
      <c r="H82" s="124">
        <v>1056.664</v>
      </c>
      <c r="I82" s="124">
        <v>424.43799999999999</v>
      </c>
      <c r="J82" s="124">
        <v>0</v>
      </c>
      <c r="K82" s="125">
        <v>0</v>
      </c>
      <c r="L82" s="126">
        <f t="shared" si="89"/>
        <v>1986.1869999999999</v>
      </c>
      <c r="M82" s="127"/>
      <c r="N82" s="126">
        <f t="shared" si="101"/>
        <v>0</v>
      </c>
      <c r="O82" s="126">
        <f t="shared" si="91"/>
        <v>1986.1869999999999</v>
      </c>
      <c r="P82" s="127"/>
      <c r="Q82" s="127"/>
      <c r="R82" s="124">
        <v>823.61800000000005</v>
      </c>
      <c r="S82" s="126">
        <f t="shared" si="94"/>
        <v>1162.569</v>
      </c>
      <c r="T82" s="127">
        <f>F82/R82*100</f>
        <v>241.15390872953236</v>
      </c>
    </row>
    <row r="83" spans="1:22" s="64" customFormat="1" ht="39" x14ac:dyDescent="0.3">
      <c r="A83" s="14" t="s">
        <v>157</v>
      </c>
      <c r="B83" s="105" t="s">
        <v>39</v>
      </c>
      <c r="C83" s="17" t="s">
        <v>23</v>
      </c>
      <c r="D83" s="129">
        <v>19200</v>
      </c>
      <c r="E83" s="129">
        <v>19200</v>
      </c>
      <c r="F83" s="124">
        <f t="shared" si="86"/>
        <v>0</v>
      </c>
      <c r="G83" s="124">
        <v>0</v>
      </c>
      <c r="H83" s="124">
        <v>0</v>
      </c>
      <c r="I83" s="124">
        <v>0</v>
      </c>
      <c r="J83" s="124">
        <v>0</v>
      </c>
      <c r="K83" s="125">
        <v>0</v>
      </c>
      <c r="L83" s="126">
        <f t="shared" si="89"/>
        <v>0</v>
      </c>
      <c r="M83" s="127"/>
      <c r="N83" s="126">
        <f t="shared" ref="N83:N85" si="102">E83/12*4</f>
        <v>6400</v>
      </c>
      <c r="O83" s="126">
        <f t="shared" si="91"/>
        <v>-6400</v>
      </c>
      <c r="P83" s="127">
        <f>F83/N83*100</f>
        <v>0</v>
      </c>
      <c r="Q83" s="127">
        <f t="shared" si="92"/>
        <v>0</v>
      </c>
      <c r="R83" s="124">
        <v>6574.5780000000004</v>
      </c>
      <c r="S83" s="126">
        <f t="shared" si="94"/>
        <v>-6574.5780000000004</v>
      </c>
      <c r="T83" s="127"/>
    </row>
    <row r="84" spans="1:22" s="63" customFormat="1" ht="34.5" customHeight="1" x14ac:dyDescent="0.3">
      <c r="A84" s="14" t="s">
        <v>158</v>
      </c>
      <c r="B84" s="45" t="s">
        <v>68</v>
      </c>
      <c r="C84" s="17" t="s">
        <v>45</v>
      </c>
      <c r="D84" s="129">
        <v>45000</v>
      </c>
      <c r="E84" s="129">
        <v>45000</v>
      </c>
      <c r="F84" s="129">
        <f t="shared" si="86"/>
        <v>14763.540999999999</v>
      </c>
      <c r="G84" s="129">
        <v>1048.5070000000001</v>
      </c>
      <c r="H84" s="129">
        <v>7273.9549999999999</v>
      </c>
      <c r="I84" s="129">
        <v>1909.866</v>
      </c>
      <c r="J84" s="129">
        <v>4531.2129999999997</v>
      </c>
      <c r="K84" s="129">
        <v>14420.941000000001</v>
      </c>
      <c r="L84" s="126">
        <f t="shared" si="89"/>
        <v>342.59999999999854</v>
      </c>
      <c r="M84" s="127">
        <f>F84/K84*100</f>
        <v>102.37571182074734</v>
      </c>
      <c r="N84" s="126">
        <f t="shared" si="102"/>
        <v>15000</v>
      </c>
      <c r="O84" s="126">
        <f t="shared" si="91"/>
        <v>-236.45900000000074</v>
      </c>
      <c r="P84" s="127">
        <f>F84/N84*100</f>
        <v>98.423606666666657</v>
      </c>
      <c r="Q84" s="127">
        <f t="shared" si="92"/>
        <v>32.807868888888883</v>
      </c>
      <c r="R84" s="129">
        <v>9515.3090000000011</v>
      </c>
      <c r="S84" s="126">
        <f t="shared" si="94"/>
        <v>5248.2319999999982</v>
      </c>
      <c r="T84" s="127">
        <f>F84/R84*100</f>
        <v>155.15566546498906</v>
      </c>
    </row>
    <row r="85" spans="1:22" s="61" customFormat="1" ht="34.5" customHeight="1" x14ac:dyDescent="0.3">
      <c r="A85" s="24">
        <v>8</v>
      </c>
      <c r="B85" s="118" t="s">
        <v>12</v>
      </c>
      <c r="C85" s="25" t="s">
        <v>24</v>
      </c>
      <c r="D85" s="128">
        <v>7550.1</v>
      </c>
      <c r="E85" s="128">
        <v>7550.1</v>
      </c>
      <c r="F85" s="119">
        <f t="shared" si="86"/>
        <v>5397.3440000000001</v>
      </c>
      <c r="G85" s="119">
        <v>1846.4469999999999</v>
      </c>
      <c r="H85" s="119">
        <v>276.541</v>
      </c>
      <c r="I85" s="119">
        <v>2470.1729999999998</v>
      </c>
      <c r="J85" s="119">
        <v>804.18299999999999</v>
      </c>
      <c r="K85" s="121">
        <v>5315.02</v>
      </c>
      <c r="L85" s="122">
        <f t="shared" si="89"/>
        <v>82.323999999999614</v>
      </c>
      <c r="M85" s="123">
        <f>F85/K85*100</f>
        <v>101.54889351310059</v>
      </c>
      <c r="N85" s="122">
        <f t="shared" si="102"/>
        <v>2516.7000000000003</v>
      </c>
      <c r="O85" s="122">
        <f t="shared" si="91"/>
        <v>2880.6439999999998</v>
      </c>
      <c r="P85" s="123">
        <f>F85/N85*100</f>
        <v>214.46115945484166</v>
      </c>
      <c r="Q85" s="123">
        <f t="shared" si="92"/>
        <v>71.487053151613893</v>
      </c>
      <c r="R85" s="119">
        <v>1974.971</v>
      </c>
      <c r="S85" s="122">
        <f t="shared" si="94"/>
        <v>3422.373</v>
      </c>
      <c r="T85" s="123">
        <f>F85/R85*100</f>
        <v>273.28725333182109</v>
      </c>
    </row>
    <row r="86" spans="1:22" s="54" customFormat="1" ht="33.75" customHeight="1" x14ac:dyDescent="0.3">
      <c r="A86" s="52"/>
      <c r="B86" s="86" t="s">
        <v>9</v>
      </c>
      <c r="C86" s="53"/>
      <c r="D86" s="49">
        <f>D72+D76+D79+D81+D82+D83+D84+D85+D78</f>
        <v>148871.00399999999</v>
      </c>
      <c r="E86" s="49">
        <f>E72+E76+E79+E81+E82+E83+E84+E85+E78</f>
        <v>148871.00399999999</v>
      </c>
      <c r="F86" s="49">
        <f t="shared" si="86"/>
        <v>81577.183000000005</v>
      </c>
      <c r="G86" s="49">
        <f t="shared" ref="G86:K86" si="103">G72+G76+G79+G81+G82+G83+G84+G85+G78</f>
        <v>16382.146999999999</v>
      </c>
      <c r="H86" s="49">
        <f t="shared" ref="H86:J86" si="104">H72+H76+H79+H81+H82+H83+H84+H85+H78</f>
        <v>20935.145</v>
      </c>
      <c r="I86" s="49">
        <f t="shared" ref="I86" si="105">I72+I76+I79+I81+I82+I83+I84+I85+I78</f>
        <v>26474.253999999997</v>
      </c>
      <c r="J86" s="49">
        <f t="shared" si="104"/>
        <v>17785.636999999999</v>
      </c>
      <c r="K86" s="49">
        <f t="shared" si="103"/>
        <v>45064.108999999997</v>
      </c>
      <c r="L86" s="88">
        <f t="shared" si="89"/>
        <v>36513.074000000008</v>
      </c>
      <c r="M86" s="89">
        <f>F86/K86*100</f>
        <v>181.02473300870102</v>
      </c>
      <c r="N86" s="88">
        <f>N72+N76+N79+N81+N82+N83+N84+N85+N78</f>
        <v>49623.667999999991</v>
      </c>
      <c r="O86" s="88">
        <f t="shared" si="91"/>
        <v>31953.515000000014</v>
      </c>
      <c r="P86" s="89">
        <f>F86/N86*100</f>
        <v>164.3916830170636</v>
      </c>
      <c r="Q86" s="89">
        <f t="shared" si="92"/>
        <v>54.797227672354524</v>
      </c>
      <c r="R86" s="49">
        <f>R72+R76+R79+R81+R82+R83+R84+R85+R78+R75+R77</f>
        <v>48668.549999999988</v>
      </c>
      <c r="S86" s="88">
        <f t="shared" si="94"/>
        <v>32908.633000000016</v>
      </c>
      <c r="T86" s="89">
        <f>F86/R86*100</f>
        <v>167.61786204848929</v>
      </c>
    </row>
    <row r="87" spans="1:22" s="67" customFormat="1" ht="22.5" hidden="1" x14ac:dyDescent="0.3">
      <c r="A87" s="66"/>
      <c r="B87" s="149"/>
      <c r="C87" s="55"/>
      <c r="D87" s="56"/>
      <c r="E87" s="56"/>
      <c r="F87" s="49">
        <f t="shared" si="86"/>
        <v>0</v>
      </c>
      <c r="G87" s="56"/>
      <c r="H87" s="56"/>
      <c r="I87" s="56"/>
      <c r="J87" s="56"/>
      <c r="K87" s="56"/>
      <c r="L87" s="92"/>
      <c r="M87" s="93"/>
      <c r="N87" s="92"/>
      <c r="O87" s="92"/>
      <c r="P87" s="93"/>
      <c r="Q87" s="93"/>
      <c r="R87" s="49"/>
      <c r="S87" s="92"/>
      <c r="T87" s="93"/>
    </row>
    <row r="88" spans="1:22" s="27" customFormat="1" ht="97.5" x14ac:dyDescent="0.25">
      <c r="A88" s="24">
        <v>1</v>
      </c>
      <c r="B88" s="60" t="s">
        <v>180</v>
      </c>
      <c r="C88" s="25" t="s">
        <v>71</v>
      </c>
      <c r="D88" s="128">
        <v>129236.2</v>
      </c>
      <c r="E88" s="128">
        <v>129236.2</v>
      </c>
      <c r="F88" s="128">
        <f t="shared" si="86"/>
        <v>34000</v>
      </c>
      <c r="G88" s="128">
        <v>0</v>
      </c>
      <c r="H88" s="128">
        <v>0</v>
      </c>
      <c r="I88" s="128">
        <v>0</v>
      </c>
      <c r="J88" s="128">
        <v>34000</v>
      </c>
      <c r="K88" s="128">
        <v>129236.2</v>
      </c>
      <c r="L88" s="122">
        <f>F88-K88</f>
        <v>-95236.2</v>
      </c>
      <c r="M88" s="131">
        <f>F88/K88*100</f>
        <v>26.308418229567259</v>
      </c>
      <c r="N88" s="128">
        <f>E88</f>
        <v>129236.2</v>
      </c>
      <c r="O88" s="122">
        <f>F88-N88</f>
        <v>-95236.2</v>
      </c>
      <c r="P88" s="131">
        <f>F88/N88*100</f>
        <v>26.308418229567259</v>
      </c>
      <c r="Q88" s="131">
        <f t="shared" si="92"/>
        <v>26.308418229567259</v>
      </c>
      <c r="R88" s="128">
        <v>0</v>
      </c>
      <c r="S88" s="122">
        <f>F88-R88</f>
        <v>34000</v>
      </c>
      <c r="T88" s="123"/>
    </row>
    <row r="89" spans="1:22" s="36" customFormat="1" ht="22.5" hidden="1" x14ac:dyDescent="0.25">
      <c r="A89" s="35"/>
      <c r="B89" s="94"/>
      <c r="C89" s="26"/>
      <c r="D89" s="56"/>
      <c r="E89" s="56"/>
      <c r="F89" s="49">
        <f t="shared" si="86"/>
        <v>0</v>
      </c>
      <c r="G89" s="56"/>
      <c r="H89" s="56"/>
      <c r="I89" s="56"/>
      <c r="J89" s="56"/>
      <c r="K89" s="56"/>
      <c r="L89" s="92"/>
      <c r="M89" s="93"/>
      <c r="N89" s="92"/>
      <c r="O89" s="92"/>
      <c r="P89" s="93"/>
      <c r="Q89" s="93"/>
      <c r="R89" s="49"/>
      <c r="S89" s="92"/>
      <c r="T89" s="93"/>
    </row>
    <row r="90" spans="1:22" s="50" customFormat="1" ht="32.25" customHeight="1" x14ac:dyDescent="0.3">
      <c r="A90" s="47"/>
      <c r="B90" s="51" t="s">
        <v>29</v>
      </c>
      <c r="C90" s="53"/>
      <c r="D90" s="49">
        <f>D91+D92</f>
        <v>129236.2</v>
      </c>
      <c r="E90" s="49">
        <f>E91+E92</f>
        <v>129236.2</v>
      </c>
      <c r="F90" s="49">
        <f t="shared" si="86"/>
        <v>34000</v>
      </c>
      <c r="G90" s="49">
        <f>G91+G92</f>
        <v>0</v>
      </c>
      <c r="H90" s="49">
        <f>H91+H92</f>
        <v>0</v>
      </c>
      <c r="I90" s="49">
        <f>I91+I92</f>
        <v>0</v>
      </c>
      <c r="J90" s="49">
        <f>J91+J92</f>
        <v>34000</v>
      </c>
      <c r="K90" s="49">
        <f>K91+K92</f>
        <v>129236.2</v>
      </c>
      <c r="L90" s="88">
        <f>F90-K90</f>
        <v>-95236.2</v>
      </c>
      <c r="M90" s="89">
        <f>F90/K90*100</f>
        <v>26.308418229567259</v>
      </c>
      <c r="N90" s="49">
        <f>N91+N92</f>
        <v>129236.2</v>
      </c>
      <c r="O90" s="88">
        <f>F90-N90</f>
        <v>-95236.2</v>
      </c>
      <c r="P90" s="89">
        <f>F90/N90*100</f>
        <v>26.308418229567259</v>
      </c>
      <c r="Q90" s="89">
        <f t="shared" si="92"/>
        <v>26.308418229567259</v>
      </c>
      <c r="R90" s="49">
        <f>R91+R92</f>
        <v>0</v>
      </c>
      <c r="S90" s="88">
        <f>F90-R90</f>
        <v>34000</v>
      </c>
      <c r="T90" s="89"/>
    </row>
    <row r="91" spans="1:22" s="8" customFormat="1" ht="32.25" customHeight="1" x14ac:dyDescent="0.25">
      <c r="A91" s="14"/>
      <c r="B91" s="17" t="s">
        <v>101</v>
      </c>
      <c r="C91" s="17"/>
      <c r="D91" s="129">
        <f>D88</f>
        <v>129236.2</v>
      </c>
      <c r="E91" s="129">
        <f>E88</f>
        <v>129236.2</v>
      </c>
      <c r="F91" s="129">
        <f t="shared" si="86"/>
        <v>34000</v>
      </c>
      <c r="G91" s="129">
        <f>G88</f>
        <v>0</v>
      </c>
      <c r="H91" s="129">
        <f>H88</f>
        <v>0</v>
      </c>
      <c r="I91" s="129">
        <f>I88</f>
        <v>0</v>
      </c>
      <c r="J91" s="129">
        <f>J88</f>
        <v>34000</v>
      </c>
      <c r="K91" s="129">
        <f>K88</f>
        <v>129236.2</v>
      </c>
      <c r="L91" s="126">
        <f>F91-K91</f>
        <v>-95236.2</v>
      </c>
      <c r="M91" s="127">
        <f>F91/K91*100</f>
        <v>26.308418229567259</v>
      </c>
      <c r="N91" s="129">
        <f>N88</f>
        <v>129236.2</v>
      </c>
      <c r="O91" s="126">
        <f>F91-N91</f>
        <v>-95236.2</v>
      </c>
      <c r="P91" s="127">
        <f>F91/N91*100</f>
        <v>26.308418229567259</v>
      </c>
      <c r="Q91" s="127">
        <f t="shared" si="92"/>
        <v>26.308418229567259</v>
      </c>
      <c r="R91" s="129">
        <f>R88</f>
        <v>0</v>
      </c>
      <c r="S91" s="126">
        <f>F91-R91</f>
        <v>34000</v>
      </c>
      <c r="T91" s="127"/>
    </row>
    <row r="92" spans="1:22" s="8" customFormat="1" ht="32.25" customHeight="1" x14ac:dyDescent="0.25">
      <c r="A92" s="14"/>
      <c r="B92" s="169" t="s">
        <v>100</v>
      </c>
      <c r="C92" s="17"/>
      <c r="D92" s="129">
        <v>0</v>
      </c>
      <c r="E92" s="129">
        <v>0</v>
      </c>
      <c r="F92" s="129">
        <f t="shared" si="86"/>
        <v>0</v>
      </c>
      <c r="G92" s="129">
        <v>0</v>
      </c>
      <c r="H92" s="129">
        <v>0</v>
      </c>
      <c r="I92" s="129">
        <v>0</v>
      </c>
      <c r="J92" s="129">
        <v>0</v>
      </c>
      <c r="K92" s="129">
        <v>0</v>
      </c>
      <c r="L92" s="126">
        <f>F92-K92</f>
        <v>0</v>
      </c>
      <c r="M92" s="127"/>
      <c r="N92" s="129">
        <v>0</v>
      </c>
      <c r="O92" s="126">
        <f>F92-N92</f>
        <v>0</v>
      </c>
      <c r="P92" s="127"/>
      <c r="Q92" s="127"/>
      <c r="R92" s="129">
        <v>0</v>
      </c>
      <c r="S92" s="126">
        <f>F92-R92</f>
        <v>0</v>
      </c>
      <c r="T92" s="127"/>
    </row>
    <row r="93" spans="1:22" s="10" customFormat="1" ht="23.25" x14ac:dyDescent="0.25">
      <c r="A93" s="24"/>
      <c r="B93" s="41"/>
      <c r="C93" s="25"/>
      <c r="D93" s="128"/>
      <c r="E93" s="128"/>
      <c r="F93" s="132"/>
      <c r="G93" s="132"/>
      <c r="H93" s="132"/>
      <c r="I93" s="132"/>
      <c r="J93" s="132"/>
      <c r="K93" s="128"/>
      <c r="L93" s="122"/>
      <c r="M93" s="123"/>
      <c r="N93" s="128"/>
      <c r="O93" s="122"/>
      <c r="P93" s="123"/>
      <c r="Q93" s="123"/>
      <c r="R93" s="132"/>
      <c r="S93" s="122"/>
      <c r="T93" s="123"/>
    </row>
    <row r="94" spans="1:22" s="158" customFormat="1" ht="28.5" customHeight="1" x14ac:dyDescent="0.3">
      <c r="A94" s="151"/>
      <c r="B94" s="152" t="s">
        <v>44</v>
      </c>
      <c r="C94" s="159"/>
      <c r="D94" s="154">
        <f>D86+D90</f>
        <v>278107.20399999997</v>
      </c>
      <c r="E94" s="154">
        <f>E86+E90</f>
        <v>278107.20399999997</v>
      </c>
      <c r="F94" s="154">
        <f t="shared" si="86"/>
        <v>115577.183</v>
      </c>
      <c r="G94" s="154">
        <f>G86+G90</f>
        <v>16382.146999999999</v>
      </c>
      <c r="H94" s="154">
        <f>H86+H90</f>
        <v>20935.145</v>
      </c>
      <c r="I94" s="154">
        <f>I86+I90</f>
        <v>26474.253999999997</v>
      </c>
      <c r="J94" s="154">
        <f>J86+J90</f>
        <v>51785.637000000002</v>
      </c>
      <c r="K94" s="154">
        <f>K86+K90</f>
        <v>174300.30900000001</v>
      </c>
      <c r="L94" s="155">
        <f>F94-K94</f>
        <v>-58723.126000000004</v>
      </c>
      <c r="M94" s="156">
        <f>F94/K94*100</f>
        <v>66.309224385827108</v>
      </c>
      <c r="N94" s="154">
        <f>N86+N90</f>
        <v>178859.86799999999</v>
      </c>
      <c r="O94" s="155">
        <f>F94-N94</f>
        <v>-63282.684999999983</v>
      </c>
      <c r="P94" s="156">
        <f>F94/N94*100</f>
        <v>64.618846190806764</v>
      </c>
      <c r="Q94" s="156">
        <f t="shared" si="92"/>
        <v>41.558500224970807</v>
      </c>
      <c r="R94" s="154">
        <f>R86+R90</f>
        <v>48668.549999999988</v>
      </c>
      <c r="S94" s="155">
        <f>F94-R94</f>
        <v>66908.633000000016</v>
      </c>
      <c r="T94" s="156">
        <f>F94/R94*100</f>
        <v>237.47817224881373</v>
      </c>
      <c r="U94" s="154">
        <v>48668.549999999996</v>
      </c>
      <c r="V94" s="154">
        <f>U94-R94</f>
        <v>0</v>
      </c>
    </row>
    <row r="95" spans="1:22" s="13" customFormat="1" ht="33" customHeight="1" x14ac:dyDescent="0.25">
      <c r="A95" s="185" t="s">
        <v>43</v>
      </c>
      <c r="B95" s="185"/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</row>
    <row r="96" spans="1:22" s="158" customFormat="1" ht="34.5" customHeight="1" x14ac:dyDescent="0.3">
      <c r="A96" s="160"/>
      <c r="B96" s="152" t="s">
        <v>28</v>
      </c>
      <c r="C96" s="159"/>
      <c r="D96" s="154">
        <f>D49+D86</f>
        <v>5056266.4890000001</v>
      </c>
      <c r="E96" s="154">
        <f>E49+E86</f>
        <v>5056266.4890000001</v>
      </c>
      <c r="F96" s="154">
        <f t="shared" ref="F96:F105" si="106">SUM(G96:J96)</f>
        <v>1777861.611</v>
      </c>
      <c r="G96" s="154">
        <f>G49+G86</f>
        <v>425834.97399999999</v>
      </c>
      <c r="H96" s="154">
        <f>H49+H86</f>
        <v>452726.50500000006</v>
      </c>
      <c r="I96" s="154">
        <f>I49+I86</f>
        <v>428206.02699999989</v>
      </c>
      <c r="J96" s="154">
        <f>J49+J86</f>
        <v>471094.10499999992</v>
      </c>
      <c r="K96" s="154">
        <f>K49+K86</f>
        <v>1654883.4480000001</v>
      </c>
      <c r="L96" s="155">
        <f>F96-K96</f>
        <v>122978.16299999994</v>
      </c>
      <c r="M96" s="156">
        <f>F96/K96*100</f>
        <v>107.43122805105246</v>
      </c>
      <c r="N96" s="154">
        <f>N49+N86</f>
        <v>1685422.1629999997</v>
      </c>
      <c r="O96" s="155">
        <f>F96-N96</f>
        <v>92439.448000000324</v>
      </c>
      <c r="P96" s="156">
        <f>F96/N96*100</f>
        <v>105.4846465193896</v>
      </c>
      <c r="Q96" s="156">
        <f t="shared" ref="Q96:Q105" si="107">F96/E96*100</f>
        <v>35.161548839796524</v>
      </c>
      <c r="R96" s="154">
        <f>R49+R86</f>
        <v>1359895.7729999998</v>
      </c>
      <c r="S96" s="155">
        <f>F96-R96</f>
        <v>417965.83800000022</v>
      </c>
      <c r="T96" s="156">
        <f>F96/R96*100</f>
        <v>130.73513766999557</v>
      </c>
    </row>
    <row r="97" spans="1:22" s="32" customFormat="1" ht="22.5" x14ac:dyDescent="0.3">
      <c r="A97" s="12"/>
      <c r="B97" s="16"/>
      <c r="C97" s="26"/>
      <c r="D97" s="56"/>
      <c r="E97" s="56"/>
      <c r="F97" s="56"/>
      <c r="G97" s="56"/>
      <c r="H97" s="56"/>
      <c r="I97" s="56"/>
      <c r="J97" s="56"/>
      <c r="K97" s="56"/>
      <c r="L97" s="92"/>
      <c r="M97" s="93"/>
      <c r="N97" s="56"/>
      <c r="O97" s="92"/>
      <c r="P97" s="93"/>
      <c r="Q97" s="93"/>
      <c r="R97" s="56"/>
      <c r="S97" s="92"/>
      <c r="T97" s="93"/>
    </row>
    <row r="98" spans="1:22" s="50" customFormat="1" ht="28.5" customHeight="1" x14ac:dyDescent="0.3">
      <c r="A98" s="47"/>
      <c r="B98" s="51" t="s">
        <v>29</v>
      </c>
      <c r="C98" s="53"/>
      <c r="D98" s="49">
        <f>D99+D100+D101</f>
        <v>133380.20000000001</v>
      </c>
      <c r="E98" s="49">
        <f>E99+E100+E101</f>
        <v>910071.51299999992</v>
      </c>
      <c r="F98" s="49">
        <f t="shared" si="106"/>
        <v>279825.24099999998</v>
      </c>
      <c r="G98" s="49">
        <f>G99+G100+G101</f>
        <v>59687.450000000004</v>
      </c>
      <c r="H98" s="49">
        <f t="shared" ref="H98:J98" si="108">H99+H100+H101</f>
        <v>59884.137000000002</v>
      </c>
      <c r="I98" s="49">
        <f t="shared" ref="I98" si="109">I99+I100+I101</f>
        <v>64901.864000000001</v>
      </c>
      <c r="J98" s="49">
        <f t="shared" si="108"/>
        <v>95351.79</v>
      </c>
      <c r="K98" s="49">
        <f>K99+K100+K101</f>
        <v>375162.636</v>
      </c>
      <c r="L98" s="88">
        <f>F98-K98</f>
        <v>-95337.395000000019</v>
      </c>
      <c r="M98" s="89">
        <f>F98/K98*100</f>
        <v>74.587715872643557</v>
      </c>
      <c r="N98" s="49">
        <f>N99+N100+N101</f>
        <v>375162.636</v>
      </c>
      <c r="O98" s="88">
        <f>F98-N98</f>
        <v>-95337.395000000019</v>
      </c>
      <c r="P98" s="89">
        <f>F98/N98*100</f>
        <v>74.587715872643557</v>
      </c>
      <c r="Q98" s="89">
        <f t="shared" si="107"/>
        <v>30.747610160609433</v>
      </c>
      <c r="R98" s="49">
        <f>R99+R100+R101</f>
        <v>280062.81199999998</v>
      </c>
      <c r="S98" s="88">
        <f>F98-R98</f>
        <v>-237.57099999999627</v>
      </c>
      <c r="T98" s="89">
        <f>F98/R98*100</f>
        <v>99.915172243575128</v>
      </c>
    </row>
    <row r="99" spans="1:22" s="57" customFormat="1" ht="28.5" customHeight="1" x14ac:dyDescent="0.3">
      <c r="A99" s="162"/>
      <c r="B99" s="161" t="s">
        <v>168</v>
      </c>
      <c r="C99" s="55"/>
      <c r="D99" s="56">
        <f>D64</f>
        <v>0</v>
      </c>
      <c r="E99" s="56">
        <f>E64</f>
        <v>10995.7</v>
      </c>
      <c r="F99" s="56">
        <f>SUM(G99:J99)</f>
        <v>3665.2</v>
      </c>
      <c r="G99" s="56">
        <f t="shared" ref="G99:K100" si="110">G64</f>
        <v>0</v>
      </c>
      <c r="H99" s="56">
        <f t="shared" si="110"/>
        <v>0</v>
      </c>
      <c r="I99" s="56">
        <f t="shared" si="110"/>
        <v>2748.9</v>
      </c>
      <c r="J99" s="56">
        <f t="shared" si="110"/>
        <v>916.3</v>
      </c>
      <c r="K99" s="56">
        <f t="shared" si="110"/>
        <v>3665.2</v>
      </c>
      <c r="L99" s="92">
        <f t="shared" ref="L99:L100" si="111">F99-K99</f>
        <v>0</v>
      </c>
      <c r="M99" s="93">
        <f t="shared" ref="M99" si="112">F99/K99*100</f>
        <v>100</v>
      </c>
      <c r="N99" s="56">
        <f>N64</f>
        <v>3665.2</v>
      </c>
      <c r="O99" s="92">
        <f t="shared" ref="O99:O100" si="113">F99-N99</f>
        <v>0</v>
      </c>
      <c r="P99" s="93">
        <f t="shared" ref="P99" si="114">F99/N99*100</f>
        <v>100</v>
      </c>
      <c r="Q99" s="93">
        <f t="shared" ref="Q99" si="115">F99/E99*100</f>
        <v>33.333030184526677</v>
      </c>
      <c r="R99" s="56">
        <f>R64</f>
        <v>0</v>
      </c>
      <c r="S99" s="92">
        <f t="shared" ref="S99:S100" si="116">F99-R99</f>
        <v>3665.2</v>
      </c>
      <c r="T99" s="93"/>
    </row>
    <row r="100" spans="1:22" s="57" customFormat="1" ht="28.5" customHeight="1" x14ac:dyDescent="0.3">
      <c r="A100" s="162"/>
      <c r="B100" s="161" t="s">
        <v>112</v>
      </c>
      <c r="C100" s="55"/>
      <c r="D100" s="56">
        <f>D65</f>
        <v>0</v>
      </c>
      <c r="E100" s="56">
        <f>E65</f>
        <v>0</v>
      </c>
      <c r="F100" s="56">
        <f>SUM(G100:J100)</f>
        <v>0</v>
      </c>
      <c r="G100" s="56">
        <f t="shared" si="110"/>
        <v>0</v>
      </c>
      <c r="H100" s="56">
        <f t="shared" si="110"/>
        <v>0</v>
      </c>
      <c r="I100" s="56">
        <f t="shared" si="110"/>
        <v>0</v>
      </c>
      <c r="J100" s="56">
        <f t="shared" si="110"/>
        <v>0</v>
      </c>
      <c r="K100" s="56">
        <f t="shared" si="110"/>
        <v>0</v>
      </c>
      <c r="L100" s="92">
        <f t="shared" si="111"/>
        <v>0</v>
      </c>
      <c r="M100" s="93"/>
      <c r="N100" s="56">
        <f>N65</f>
        <v>0</v>
      </c>
      <c r="O100" s="92">
        <f t="shared" si="113"/>
        <v>0</v>
      </c>
      <c r="P100" s="93"/>
      <c r="Q100" s="93"/>
      <c r="R100" s="56">
        <f>R65</f>
        <v>9666.7999999999993</v>
      </c>
      <c r="S100" s="92">
        <f t="shared" si="116"/>
        <v>-9666.7999999999993</v>
      </c>
      <c r="T100" s="93"/>
    </row>
    <row r="101" spans="1:22" s="57" customFormat="1" ht="28.5" customHeight="1" x14ac:dyDescent="0.3">
      <c r="A101" s="162"/>
      <c r="B101" s="58" t="s">
        <v>72</v>
      </c>
      <c r="C101" s="55"/>
      <c r="D101" s="56">
        <f>D102+D103</f>
        <v>133380.20000000001</v>
      </c>
      <c r="E101" s="56">
        <f t="shared" ref="E101" si="117">E102+E103</f>
        <v>899075.81299999997</v>
      </c>
      <c r="F101" s="56">
        <f t="shared" si="106"/>
        <v>276160.04099999997</v>
      </c>
      <c r="G101" s="56">
        <f t="shared" ref="G101:K101" si="118">G102+G103</f>
        <v>59687.450000000004</v>
      </c>
      <c r="H101" s="56">
        <f t="shared" ref="H101:J101" si="119">H102+H103</f>
        <v>59884.137000000002</v>
      </c>
      <c r="I101" s="56">
        <f t="shared" ref="I101" si="120">I102+I103</f>
        <v>62152.964</v>
      </c>
      <c r="J101" s="56">
        <f t="shared" si="119"/>
        <v>94435.489999999991</v>
      </c>
      <c r="K101" s="56">
        <f t="shared" si="118"/>
        <v>371497.43599999999</v>
      </c>
      <c r="L101" s="92">
        <f>F101-K101</f>
        <v>-95337.395000000019</v>
      </c>
      <c r="M101" s="93">
        <f>F101/K101*100</f>
        <v>74.336997846736139</v>
      </c>
      <c r="N101" s="56">
        <f t="shared" ref="N101" si="121">N102+N103</f>
        <v>371497.43599999999</v>
      </c>
      <c r="O101" s="92">
        <f>F101-N101</f>
        <v>-95337.395000000019</v>
      </c>
      <c r="P101" s="93">
        <f>F101/N101*100</f>
        <v>74.336997846736139</v>
      </c>
      <c r="Q101" s="93">
        <f t="shared" si="107"/>
        <v>30.715990465644964</v>
      </c>
      <c r="R101" s="56">
        <f t="shared" ref="R101" si="122">R102+R103</f>
        <v>270396.01199999999</v>
      </c>
      <c r="S101" s="92">
        <f>F101-R101</f>
        <v>5764.0289999999804</v>
      </c>
      <c r="T101" s="93">
        <f>F101/R101*100</f>
        <v>102.1316989689922</v>
      </c>
    </row>
    <row r="102" spans="1:22" s="165" customFormat="1" ht="28.5" customHeight="1" x14ac:dyDescent="0.35">
      <c r="A102" s="163"/>
      <c r="B102" s="164" t="s">
        <v>101</v>
      </c>
      <c r="C102" s="164"/>
      <c r="D102" s="129">
        <f>D67+D91</f>
        <v>129236.2</v>
      </c>
      <c r="E102" s="129">
        <f>E67+E91</f>
        <v>872748.89999999991</v>
      </c>
      <c r="F102" s="129">
        <f t="shared" si="106"/>
        <v>266459.40000000002</v>
      </c>
      <c r="G102" s="129">
        <f>G67+G91</f>
        <v>58102.400000000001</v>
      </c>
      <c r="H102" s="129">
        <f>H67+H91</f>
        <v>58123.4</v>
      </c>
      <c r="I102" s="129">
        <f>I67+I91</f>
        <v>58121.9</v>
      </c>
      <c r="J102" s="129">
        <f>J67+J91</f>
        <v>92111.7</v>
      </c>
      <c r="K102" s="129">
        <f>K67+K91</f>
        <v>361695.6</v>
      </c>
      <c r="L102" s="126">
        <f>F102-K102</f>
        <v>-95236.199999999953</v>
      </c>
      <c r="M102" s="127">
        <f>F102/K102*100</f>
        <v>73.669516576922703</v>
      </c>
      <c r="N102" s="129">
        <f>N67+N91</f>
        <v>361695.6</v>
      </c>
      <c r="O102" s="126">
        <f>F102-N102</f>
        <v>-95236.199999999953</v>
      </c>
      <c r="P102" s="127">
        <f>F102/N102*100</f>
        <v>73.669516576922703</v>
      </c>
      <c r="Q102" s="127">
        <f t="shared" si="107"/>
        <v>30.531049652425807</v>
      </c>
      <c r="R102" s="129">
        <f>R67+R91</f>
        <v>263550.8</v>
      </c>
      <c r="S102" s="126">
        <f>F102-R102</f>
        <v>2908.6000000000349</v>
      </c>
      <c r="T102" s="127">
        <f>F102/R102*100</f>
        <v>101.10362025082074</v>
      </c>
    </row>
    <row r="103" spans="1:22" s="165" customFormat="1" ht="28.5" customHeight="1" x14ac:dyDescent="0.35">
      <c r="A103" s="163"/>
      <c r="B103" s="164" t="s">
        <v>100</v>
      </c>
      <c r="C103" s="164"/>
      <c r="D103" s="129">
        <f>D92+D68</f>
        <v>4144</v>
      </c>
      <c r="E103" s="129">
        <f>E92+E68</f>
        <v>26326.913000000004</v>
      </c>
      <c r="F103" s="129">
        <f t="shared" si="106"/>
        <v>9700.6409999999996</v>
      </c>
      <c r="G103" s="129">
        <f>G92+G68</f>
        <v>1585.05</v>
      </c>
      <c r="H103" s="129">
        <f>H92+H68</f>
        <v>1760.7369999999999</v>
      </c>
      <c r="I103" s="129">
        <f>I92+I68</f>
        <v>4031.0639999999999</v>
      </c>
      <c r="J103" s="129">
        <f>J92+J68</f>
        <v>2323.7900000000004</v>
      </c>
      <c r="K103" s="129">
        <f>K92+K68</f>
        <v>9801.8359999999993</v>
      </c>
      <c r="L103" s="126">
        <f>F103-K103</f>
        <v>-101.19499999999971</v>
      </c>
      <c r="M103" s="127">
        <f>F103/K103*100</f>
        <v>98.967591377778618</v>
      </c>
      <c r="N103" s="129">
        <f>N92+N68</f>
        <v>9801.8359999999993</v>
      </c>
      <c r="O103" s="126">
        <f>F103-N103</f>
        <v>-101.19499999999971</v>
      </c>
      <c r="P103" s="127">
        <f>F103/N103*100</f>
        <v>98.967591377778618</v>
      </c>
      <c r="Q103" s="127">
        <f t="shared" si="107"/>
        <v>36.846860852998596</v>
      </c>
      <c r="R103" s="129">
        <f>R92+R68</f>
        <v>6845.2120000000004</v>
      </c>
      <c r="S103" s="126">
        <f>F103-R103</f>
        <v>2855.4289999999992</v>
      </c>
      <c r="T103" s="127">
        <f>F103/R103*100</f>
        <v>141.71425223937547</v>
      </c>
    </row>
    <row r="104" spans="1:22" s="8" customFormat="1" ht="23.25" x14ac:dyDescent="0.25">
      <c r="A104" s="28"/>
      <c r="B104" s="45"/>
      <c r="C104" s="17"/>
      <c r="D104" s="129"/>
      <c r="E104" s="129"/>
      <c r="F104" s="129"/>
      <c r="G104" s="129"/>
      <c r="H104" s="129"/>
      <c r="I104" s="129"/>
      <c r="J104" s="129"/>
      <c r="K104" s="129"/>
      <c r="L104" s="126"/>
      <c r="M104" s="127"/>
      <c r="N104" s="129"/>
      <c r="O104" s="126"/>
      <c r="P104" s="127"/>
      <c r="Q104" s="127"/>
      <c r="R104" s="129"/>
      <c r="S104" s="126"/>
      <c r="T104" s="127"/>
    </row>
    <row r="105" spans="1:22" s="158" customFormat="1" ht="46.5" x14ac:dyDescent="0.3">
      <c r="A105" s="160"/>
      <c r="B105" s="152" t="s">
        <v>129</v>
      </c>
      <c r="C105" s="159"/>
      <c r="D105" s="154">
        <f>D96+D98</f>
        <v>5189646.6890000002</v>
      </c>
      <c r="E105" s="154">
        <f>E96+E98</f>
        <v>5966338.0020000003</v>
      </c>
      <c r="F105" s="154">
        <f t="shared" si="106"/>
        <v>2057686.852</v>
      </c>
      <c r="G105" s="154">
        <f>G96+G98</f>
        <v>485522.424</v>
      </c>
      <c r="H105" s="154">
        <f>H96+H98</f>
        <v>512610.64200000005</v>
      </c>
      <c r="I105" s="154">
        <f>I96+I98</f>
        <v>493107.89099999989</v>
      </c>
      <c r="J105" s="154">
        <f>J96+J98</f>
        <v>566445.8949999999</v>
      </c>
      <c r="K105" s="154">
        <f>K96+K98</f>
        <v>2030046.084</v>
      </c>
      <c r="L105" s="155">
        <f>F105-K105</f>
        <v>27640.767999999924</v>
      </c>
      <c r="M105" s="156">
        <f>F105/K105*100</f>
        <v>101.36158327723952</v>
      </c>
      <c r="N105" s="154">
        <f>N94+N70</f>
        <v>2060584.7989999996</v>
      </c>
      <c r="O105" s="155">
        <f>F105-N105</f>
        <v>-2897.9469999996945</v>
      </c>
      <c r="P105" s="156">
        <f>F105/N105*100</f>
        <v>99.859362885652359</v>
      </c>
      <c r="Q105" s="156">
        <f t="shared" si="107"/>
        <v>34.488271554682868</v>
      </c>
      <c r="R105" s="154">
        <f>R96+R98</f>
        <v>1639958.5849999997</v>
      </c>
      <c r="S105" s="155">
        <f>F105-R105</f>
        <v>417728.26700000023</v>
      </c>
      <c r="T105" s="156">
        <f>F105/R105*100</f>
        <v>125.47187903528676</v>
      </c>
      <c r="U105" s="154">
        <v>1639958.585</v>
      </c>
      <c r="V105" s="154">
        <f>U105-R105</f>
        <v>0</v>
      </c>
    </row>
    <row r="106" spans="1:22" s="15" customFormat="1" ht="3.75" customHeight="1" x14ac:dyDescent="0.3">
      <c r="A106" s="37"/>
      <c r="B106" s="38"/>
      <c r="C106" s="39"/>
      <c r="D106" s="39"/>
      <c r="E106" s="40"/>
      <c r="F106" s="104"/>
      <c r="G106" s="40"/>
      <c r="H106" s="40"/>
      <c r="I106" s="40"/>
      <c r="J106" s="40"/>
      <c r="K106" s="40"/>
      <c r="L106" s="95"/>
      <c r="M106" s="96"/>
      <c r="N106" s="40"/>
      <c r="O106" s="95"/>
      <c r="P106" s="96"/>
      <c r="Q106" s="96"/>
      <c r="R106" s="104"/>
      <c r="S106" s="95"/>
      <c r="T106" s="96"/>
    </row>
    <row r="107" spans="1:22" s="15" customFormat="1" ht="50.25" customHeight="1" x14ac:dyDescent="0.4">
      <c r="A107" s="37"/>
      <c r="B107" s="189" t="s">
        <v>191</v>
      </c>
      <c r="C107" s="189"/>
      <c r="D107" s="189"/>
      <c r="E107" s="189"/>
      <c r="F107" s="189"/>
      <c r="G107" s="189"/>
      <c r="H107" s="189"/>
      <c r="I107" s="189"/>
      <c r="J107" s="189"/>
      <c r="K107" s="189"/>
      <c r="L107" s="189"/>
      <c r="M107" s="189"/>
      <c r="N107" s="40"/>
      <c r="O107" s="95"/>
      <c r="P107" s="96"/>
      <c r="Q107" s="96"/>
      <c r="R107" s="22"/>
      <c r="S107" s="95"/>
      <c r="T107" s="96"/>
    </row>
    <row r="108" spans="1:22" s="8" customFormat="1" ht="18" customHeight="1" x14ac:dyDescent="0.45">
      <c r="A108" s="6"/>
      <c r="B108" s="31" t="s">
        <v>54</v>
      </c>
      <c r="C108" s="19"/>
      <c r="D108" s="19"/>
      <c r="E108" s="19"/>
      <c r="F108" s="21"/>
      <c r="G108" s="21"/>
      <c r="H108" s="21"/>
      <c r="I108" s="21"/>
      <c r="J108" s="21"/>
      <c r="K108" s="7"/>
      <c r="L108" s="97"/>
      <c r="M108" s="98"/>
      <c r="N108" s="7"/>
      <c r="O108" s="97"/>
      <c r="P108" s="98"/>
      <c r="Q108" s="98"/>
      <c r="R108" s="21"/>
      <c r="S108" s="97"/>
      <c r="T108" s="98"/>
    </row>
    <row r="109" spans="1:22" s="8" customFormat="1" ht="30.75" hidden="1" x14ac:dyDescent="0.45">
      <c r="A109" s="6"/>
      <c r="B109" s="19"/>
      <c r="C109" s="19"/>
      <c r="D109" s="19"/>
      <c r="E109" s="138"/>
      <c r="F109" s="59"/>
      <c r="G109" s="21"/>
      <c r="H109" s="21"/>
      <c r="I109" s="21"/>
      <c r="J109" s="21"/>
      <c r="K109" s="7"/>
      <c r="L109" s="97"/>
      <c r="M109" s="98"/>
      <c r="N109" s="7"/>
      <c r="O109" s="97"/>
      <c r="P109" s="98"/>
      <c r="Q109" s="98"/>
      <c r="R109" s="59"/>
      <c r="S109" s="97"/>
      <c r="T109" s="98"/>
    </row>
    <row r="110" spans="1:22" s="4" customFormat="1" ht="30.75" hidden="1" x14ac:dyDescent="0.45">
      <c r="A110" s="29"/>
      <c r="B110" s="19"/>
      <c r="C110" s="19"/>
      <c r="D110" s="115">
        <v>5189646.6890000002</v>
      </c>
      <c r="E110" s="115">
        <v>5966338.0020000003</v>
      </c>
      <c r="F110" s="65">
        <v>2057672.1089999999</v>
      </c>
      <c r="G110" s="116"/>
      <c r="H110" s="116"/>
      <c r="I110" s="116"/>
      <c r="J110" s="116"/>
      <c r="K110" s="65">
        <v>2030046.084</v>
      </c>
      <c r="L110" s="5"/>
      <c r="M110" s="5"/>
      <c r="N110" s="22"/>
      <c r="O110" s="5"/>
      <c r="P110" s="5"/>
      <c r="Q110" s="5"/>
      <c r="R110" s="65"/>
      <c r="S110" s="5"/>
    </row>
    <row r="111" spans="1:22" ht="12" hidden="1" customHeight="1" x14ac:dyDescent="0.45">
      <c r="B111" s="31"/>
      <c r="C111" s="21"/>
      <c r="D111" s="21"/>
      <c r="E111" s="21"/>
      <c r="F111" s="59"/>
      <c r="G111" s="21"/>
      <c r="H111" s="21"/>
      <c r="I111" s="21"/>
      <c r="J111" s="21"/>
      <c r="R111" s="59"/>
    </row>
    <row r="112" spans="1:22" s="2" customFormat="1" ht="30.75" hidden="1" customHeight="1" x14ac:dyDescent="0.45">
      <c r="A112" s="30"/>
      <c r="B112" s="19"/>
      <c r="C112" s="19"/>
      <c r="D112" s="19"/>
      <c r="E112" s="19"/>
      <c r="F112" s="59"/>
      <c r="G112" s="21"/>
      <c r="H112" s="21"/>
      <c r="I112" s="21"/>
      <c r="J112" s="21"/>
      <c r="L112" s="147"/>
      <c r="M112" s="147"/>
      <c r="N112" s="147"/>
      <c r="O112" s="147"/>
      <c r="P112" s="147"/>
      <c r="Q112" s="147"/>
      <c r="R112" s="59"/>
      <c r="S112" s="147"/>
    </row>
    <row r="113" spans="1:45" s="2" customFormat="1" ht="30.75" hidden="1" customHeight="1" x14ac:dyDescent="0.45">
      <c r="A113" s="30"/>
      <c r="B113" s="19"/>
      <c r="C113" s="19"/>
      <c r="D113" s="19"/>
      <c r="E113" s="19"/>
      <c r="F113" s="59"/>
      <c r="G113" s="21"/>
      <c r="H113" s="21"/>
      <c r="I113" s="21"/>
      <c r="J113" s="21"/>
      <c r="L113" s="147"/>
      <c r="M113" s="147"/>
      <c r="N113" s="147"/>
      <c r="O113" s="147"/>
      <c r="P113" s="147"/>
      <c r="Q113" s="147"/>
      <c r="R113" s="59"/>
      <c r="S113" s="147"/>
    </row>
    <row r="114" spans="1:45" s="2" customFormat="1" ht="16.5" hidden="1" customHeight="1" x14ac:dyDescent="0.45">
      <c r="A114" s="30"/>
      <c r="B114" s="31"/>
      <c r="C114" s="21"/>
      <c r="D114" s="21"/>
      <c r="E114" s="21"/>
      <c r="F114" s="59"/>
      <c r="G114" s="21"/>
      <c r="H114" s="21"/>
      <c r="I114" s="21"/>
      <c r="J114" s="21"/>
      <c r="L114" s="147"/>
      <c r="M114" s="147"/>
      <c r="N114" s="147"/>
      <c r="O114" s="147"/>
      <c r="P114" s="147"/>
      <c r="Q114" s="147"/>
      <c r="R114" s="59"/>
      <c r="S114" s="147"/>
    </row>
    <row r="115" spans="1:45" ht="18.75" hidden="1" x14ac:dyDescent="0.3">
      <c r="B115" s="29"/>
      <c r="D115" s="115">
        <f>D110-D105</f>
        <v>0</v>
      </c>
      <c r="E115" s="115">
        <f>E110-E105</f>
        <v>0</v>
      </c>
      <c r="F115" s="115">
        <f>F110-F105</f>
        <v>-14.743000000016764</v>
      </c>
      <c r="G115" s="33"/>
      <c r="H115" s="33"/>
      <c r="I115" s="33"/>
      <c r="J115" s="33"/>
      <c r="K115" s="115">
        <f>K110-K105</f>
        <v>0</v>
      </c>
      <c r="L115" s="181" t="s">
        <v>51</v>
      </c>
      <c r="M115" s="178"/>
      <c r="N115" s="100">
        <f>E49/12*4</f>
        <v>1635798.4950000001</v>
      </c>
      <c r="R115" s="115"/>
    </row>
    <row r="116" spans="1:45" ht="18.75" hidden="1" x14ac:dyDescent="0.3">
      <c r="B116" s="29"/>
      <c r="K116" s="117"/>
      <c r="L116" s="147"/>
      <c r="M116" s="147"/>
      <c r="N116" s="100">
        <f>N115-N49</f>
        <v>0</v>
      </c>
    </row>
    <row r="117" spans="1:45" ht="18.75" hidden="1" customHeight="1" x14ac:dyDescent="0.3">
      <c r="B117" s="4"/>
      <c r="C117" s="3"/>
      <c r="D117" s="3"/>
      <c r="E117" s="116"/>
      <c r="F117" s="116"/>
      <c r="L117" s="177" t="s">
        <v>52</v>
      </c>
      <c r="M117" s="178"/>
      <c r="N117" s="99">
        <f>E86/12*4</f>
        <v>49623.667999999998</v>
      </c>
      <c r="R117" s="116"/>
    </row>
    <row r="118" spans="1:45" ht="18.75" hidden="1" x14ac:dyDescent="0.3">
      <c r="B118" s="4"/>
      <c r="C118" s="3"/>
      <c r="D118" s="3"/>
      <c r="E118" s="3"/>
      <c r="F118" s="3"/>
      <c r="L118" s="147"/>
      <c r="M118" s="147"/>
      <c r="N118" s="100">
        <f>N117-N86</f>
        <v>0</v>
      </c>
      <c r="R118" s="3"/>
    </row>
    <row r="119" spans="1:45" ht="22.5" hidden="1" x14ac:dyDescent="0.3">
      <c r="B119" s="4"/>
      <c r="C119" s="3"/>
      <c r="D119" s="3"/>
      <c r="E119" s="139"/>
      <c r="F119" s="139"/>
      <c r="L119" s="177" t="s">
        <v>53</v>
      </c>
      <c r="M119" s="178"/>
      <c r="N119" s="100">
        <f>N117+N90</f>
        <v>178859.86799999999</v>
      </c>
      <c r="R119" s="139"/>
    </row>
    <row r="120" spans="1:45" ht="18.75" hidden="1" x14ac:dyDescent="0.3">
      <c r="B120" s="4"/>
      <c r="C120" s="3"/>
      <c r="D120" s="3"/>
      <c r="E120" s="3"/>
      <c r="L120" s="147"/>
      <c r="M120" s="147"/>
      <c r="N120" s="100">
        <f>N119-N94</f>
        <v>0</v>
      </c>
    </row>
    <row r="121" spans="1:45" ht="18.75" x14ac:dyDescent="0.3">
      <c r="B121" s="4"/>
      <c r="C121" s="3"/>
      <c r="D121" s="3"/>
      <c r="E121" s="3"/>
    </row>
    <row r="122" spans="1:45" ht="18.75" x14ac:dyDescent="0.3">
      <c r="B122" s="141"/>
      <c r="C122" s="3"/>
      <c r="D122" s="3"/>
      <c r="E122" s="3"/>
    </row>
    <row r="123" spans="1:45" ht="18.75" x14ac:dyDescent="0.3">
      <c r="B123" s="4"/>
      <c r="C123" s="3"/>
      <c r="D123" s="3"/>
      <c r="E123" s="3"/>
    </row>
    <row r="124" spans="1:45" s="20" customFormat="1" ht="18.75" x14ac:dyDescent="0.3">
      <c r="B124" s="4"/>
      <c r="C124" s="3"/>
      <c r="D124" s="3"/>
      <c r="E124" s="3"/>
      <c r="F124" s="33"/>
      <c r="G124" s="3"/>
      <c r="H124" s="3"/>
      <c r="I124" s="3"/>
      <c r="J124" s="3"/>
      <c r="K124" s="3"/>
      <c r="L124" s="1"/>
      <c r="M124" s="1"/>
      <c r="N124" s="1"/>
      <c r="O124" s="1"/>
      <c r="P124" s="1"/>
      <c r="Q124" s="1"/>
      <c r="R124" s="33"/>
      <c r="S124" s="1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  <row r="125" spans="1:45" s="20" customFormat="1" ht="18.75" x14ac:dyDescent="0.3">
      <c r="B125" s="4"/>
      <c r="C125" s="3"/>
      <c r="D125" s="3"/>
      <c r="E125" s="116"/>
      <c r="F125" s="142"/>
      <c r="G125" s="3"/>
      <c r="H125" s="3"/>
      <c r="I125" s="3"/>
      <c r="J125" s="3"/>
      <c r="K125" s="3"/>
      <c r="L125" s="1"/>
      <c r="M125" s="1"/>
      <c r="N125" s="1"/>
      <c r="O125" s="1"/>
      <c r="P125" s="1"/>
      <c r="Q125" s="1"/>
      <c r="R125" s="142"/>
      <c r="S125" s="1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1:45" s="20" customFormat="1" ht="18.75" x14ac:dyDescent="0.3">
      <c r="B126" s="4"/>
      <c r="C126" s="3"/>
      <c r="D126" s="143"/>
      <c r="E126" s="3"/>
      <c r="F126" s="33"/>
      <c r="G126" s="3"/>
      <c r="H126" s="3"/>
      <c r="I126" s="3"/>
      <c r="J126" s="3"/>
      <c r="K126" s="3"/>
      <c r="L126" s="1"/>
      <c r="M126" s="1"/>
      <c r="N126" s="1"/>
      <c r="O126" s="1"/>
      <c r="P126" s="1"/>
      <c r="Q126" s="1"/>
      <c r="R126" s="33"/>
      <c r="S126" s="1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</row>
    <row r="127" spans="1:45" s="20" customFormat="1" ht="18.75" x14ac:dyDescent="0.3">
      <c r="B127" s="4"/>
      <c r="C127" s="3"/>
      <c r="D127" s="3"/>
      <c r="E127" s="3"/>
      <c r="F127" s="33"/>
      <c r="G127" s="3"/>
      <c r="H127" s="3"/>
      <c r="I127" s="3"/>
      <c r="J127" s="3"/>
      <c r="K127" s="3"/>
      <c r="L127" s="1"/>
      <c r="M127" s="1"/>
      <c r="N127" s="1"/>
      <c r="O127" s="1"/>
      <c r="P127" s="1"/>
      <c r="Q127" s="1"/>
      <c r="R127" s="33"/>
      <c r="S127" s="1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</row>
    <row r="128" spans="1:45" s="20" customFormat="1" ht="22.5" x14ac:dyDescent="0.3">
      <c r="B128" s="4"/>
      <c r="C128" s="3"/>
      <c r="D128" s="140"/>
      <c r="E128" s="3"/>
      <c r="F128" s="33"/>
      <c r="G128" s="3"/>
      <c r="H128" s="3"/>
      <c r="I128" s="3"/>
      <c r="J128" s="3"/>
      <c r="K128" s="3"/>
      <c r="L128" s="1"/>
      <c r="M128" s="1"/>
      <c r="N128" s="1"/>
      <c r="O128" s="1"/>
      <c r="P128" s="1"/>
      <c r="Q128" s="1"/>
      <c r="R128" s="33"/>
      <c r="S128" s="1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</row>
    <row r="129" spans="2:45" s="20" customFormat="1" ht="18.75" x14ac:dyDescent="0.3">
      <c r="B129" s="4"/>
      <c r="C129" s="3"/>
      <c r="D129" s="3"/>
      <c r="E129" s="3"/>
      <c r="F129" s="142"/>
      <c r="G129" s="3"/>
      <c r="H129" s="3"/>
      <c r="I129" s="3"/>
      <c r="J129" s="3"/>
      <c r="K129" s="3"/>
      <c r="L129" s="1"/>
      <c r="M129" s="1"/>
      <c r="N129" s="1"/>
      <c r="O129" s="1"/>
      <c r="P129" s="1"/>
      <c r="Q129" s="1"/>
      <c r="R129" s="142"/>
      <c r="S129" s="1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</row>
    <row r="130" spans="2:45" s="20" customFormat="1" ht="18.75" x14ac:dyDescent="0.3">
      <c r="B130" s="4"/>
      <c r="C130" s="3"/>
      <c r="D130" s="3"/>
      <c r="E130" s="3"/>
      <c r="F130" s="33"/>
      <c r="G130" s="3"/>
      <c r="H130" s="3"/>
      <c r="I130" s="3"/>
      <c r="J130" s="3"/>
      <c r="K130" s="3"/>
      <c r="L130" s="1"/>
      <c r="M130" s="1"/>
      <c r="N130" s="1"/>
      <c r="O130" s="1"/>
      <c r="P130" s="1"/>
      <c r="Q130" s="1"/>
      <c r="R130" s="33"/>
      <c r="S130" s="1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</row>
    <row r="131" spans="2:45" s="20" customFormat="1" ht="18.75" x14ac:dyDescent="0.3">
      <c r="B131" s="4"/>
      <c r="C131" s="3"/>
      <c r="D131" s="3"/>
      <c r="E131" s="3"/>
      <c r="F131" s="33"/>
      <c r="G131" s="3"/>
      <c r="H131" s="3"/>
      <c r="I131" s="3"/>
      <c r="J131" s="3"/>
      <c r="K131" s="3"/>
      <c r="L131" s="1"/>
      <c r="M131" s="1"/>
      <c r="N131" s="1"/>
      <c r="O131" s="1"/>
      <c r="P131" s="1"/>
      <c r="Q131" s="1"/>
      <c r="R131" s="33"/>
      <c r="S131" s="1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2:45" s="20" customFormat="1" ht="18.75" x14ac:dyDescent="0.3">
      <c r="B132" s="29"/>
      <c r="F132" s="33"/>
      <c r="G132" s="3"/>
      <c r="H132" s="3"/>
      <c r="I132" s="3"/>
      <c r="J132" s="3"/>
      <c r="K132" s="3"/>
      <c r="L132" s="1"/>
      <c r="M132" s="1"/>
      <c r="N132" s="1"/>
      <c r="O132" s="1"/>
      <c r="P132" s="1"/>
      <c r="Q132" s="1"/>
      <c r="R132" s="33"/>
      <c r="S132" s="1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2:45" s="20" customFormat="1" ht="18.75" x14ac:dyDescent="0.3">
      <c r="B133" s="29"/>
      <c r="F133" s="33"/>
      <c r="G133" s="3"/>
      <c r="H133" s="3"/>
      <c r="I133" s="3"/>
      <c r="J133" s="3"/>
      <c r="K133" s="3"/>
      <c r="L133" s="1"/>
      <c r="M133" s="1"/>
      <c r="N133" s="1"/>
      <c r="O133" s="1"/>
      <c r="P133" s="1"/>
      <c r="Q133" s="1"/>
      <c r="R133" s="33"/>
      <c r="S133" s="1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</sheetData>
  <mergeCells count="29">
    <mergeCell ref="B107:M107"/>
    <mergeCell ref="A95:T95"/>
    <mergeCell ref="A71:T71"/>
    <mergeCell ref="F3:F4"/>
    <mergeCell ref="M3:M4"/>
    <mergeCell ref="B3:B4"/>
    <mergeCell ref="C3:C4"/>
    <mergeCell ref="D3:D4"/>
    <mergeCell ref="E3:E4"/>
    <mergeCell ref="J3:J4"/>
    <mergeCell ref="H3:H4"/>
    <mergeCell ref="I3:I4"/>
    <mergeCell ref="A6:T6"/>
    <mergeCell ref="L117:M117"/>
    <mergeCell ref="L119:M119"/>
    <mergeCell ref="C22:C24"/>
    <mergeCell ref="A1:T1"/>
    <mergeCell ref="L115:M115"/>
    <mergeCell ref="T3:T4"/>
    <mergeCell ref="K3:K4"/>
    <mergeCell ref="L3:L4"/>
    <mergeCell ref="N3:N4"/>
    <mergeCell ref="O3:O4"/>
    <mergeCell ref="P3:P4"/>
    <mergeCell ref="Q3:Q4"/>
    <mergeCell ref="R3:R4"/>
    <mergeCell ref="S3:S4"/>
    <mergeCell ref="A3:A4"/>
    <mergeCell ref="G3:G4"/>
  </mergeCells>
  <printOptions horizontalCentered="1"/>
  <pageMargins left="0.39370078740157483" right="0" top="0" bottom="0" header="0.23622047244094491" footer="0.11811023622047245"/>
  <pageSetup paperSize="9" scale="45" fitToHeight="6" orientation="landscape" horizontalDpi="300" verticalDpi="300" r:id="rId1"/>
  <headerFooter alignWithMargins="0"/>
  <rowBreaks count="1" manualBreakCount="1">
    <brk id="79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DC5F1B-D535-4A3F-8E8B-D26E9B29982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</vt:lpstr>
      <vt:lpstr>'2023'!Заголовки_для_печати</vt:lpstr>
      <vt:lpstr>'2023'!Область_печати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2023-05-05T06:08:08Z</cp:lastPrinted>
  <dcterms:created xsi:type="dcterms:W3CDTF">1996-10-08T23:32:33Z</dcterms:created>
  <dcterms:modified xsi:type="dcterms:W3CDTF">2023-05-29T05:40:48Z</dcterms:modified>
</cp:coreProperties>
</file>